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feitura\Desktop\LICITAÇÕES 2020\PREGÃO\LIXO\"/>
    </mc:Choice>
  </mc:AlternateContent>
  <bookViews>
    <workbookView xWindow="0" yWindow="0" windowWidth="24000" windowHeight="9135" tabRatio="802"/>
  </bookViews>
  <sheets>
    <sheet name="Coleta" sheetId="2" r:id="rId1"/>
    <sheet name="2.Encargos Sociais" sheetId="8" r:id="rId2"/>
    <sheet name="3.CAGED" sheetId="5" r:id="rId3"/>
    <sheet name="4.BDI" sheetId="4" r:id="rId4"/>
    <sheet name="5. Depreciação" sheetId="6" r:id="rId5"/>
    <sheet name="6.Remuneração de capital" sheetId="7" r:id="rId6"/>
    <sheet name="Plan1" sheetId="9" r:id="rId7"/>
  </sheets>
  <externalReferences>
    <externalReference r:id="rId8"/>
  </externalReferences>
  <definedNames>
    <definedName name="AbaDeprec">'5. Depreciação'!$A$1</definedName>
    <definedName name="AbaRemun">'6.Remuneração de capital'!$A$1</definedName>
    <definedName name="_xlnm.Print_Area" localSheetId="1">'2.Encargos Sociais'!$A$1:$C$36</definedName>
    <definedName name="_xlnm.Print_Area" localSheetId="0">Coleta!$A$1:$F$239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1" i="2" l="1"/>
  <c r="F66" i="2" l="1"/>
  <c r="E10" i="2" s="1"/>
  <c r="A10" i="2"/>
  <c r="C66" i="2"/>
  <c r="E64" i="2"/>
  <c r="A13" i="2" l="1"/>
  <c r="A11" i="2"/>
  <c r="E154" i="2" l="1"/>
  <c r="E209" i="2" s="1"/>
  <c r="E146" i="2"/>
  <c r="E130" i="2"/>
  <c r="E105" i="2"/>
  <c r="E92" i="2"/>
  <c r="E60" i="2"/>
  <c r="E66" i="2" s="1"/>
  <c r="E50" i="2"/>
  <c r="E198" i="2" l="1"/>
  <c r="C11" i="9"/>
  <c r="C14" i="9" s="1"/>
  <c r="C19" i="9" s="1"/>
  <c r="C21" i="9" s="1"/>
  <c r="C176" i="2"/>
  <c r="C162" i="2"/>
  <c r="C12" i="9" l="1"/>
  <c r="D134" i="2" l="1"/>
  <c r="E230" i="2" l="1"/>
  <c r="E169" i="2"/>
  <c r="D170" i="2" s="1"/>
  <c r="E167" i="2"/>
  <c r="D168" i="2" s="1"/>
  <c r="E165" i="2"/>
  <c r="D166" i="2" s="1"/>
  <c r="E163" i="2"/>
  <c r="D164" i="2" s="1"/>
  <c r="E161" i="2"/>
  <c r="D162" i="2" s="1"/>
  <c r="A9" i="2"/>
  <c r="C13" i="4"/>
  <c r="C205" i="2"/>
  <c r="C207" i="2" s="1"/>
  <c r="E207" i="2" s="1"/>
  <c r="D208" i="2" s="1"/>
  <c r="E208" i="2" s="1"/>
  <c r="E197" i="2"/>
  <c r="E196" i="2"/>
  <c r="E195" i="2"/>
  <c r="E194" i="2"/>
  <c r="E193" i="2"/>
  <c r="C185" i="2"/>
  <c r="C183" i="2"/>
  <c r="E183" i="2" s="1"/>
  <c r="E181" i="2"/>
  <c r="E176" i="2"/>
  <c r="F177" i="2" s="1"/>
  <c r="E20" i="2" s="1"/>
  <c r="C152" i="2"/>
  <c r="E152" i="2" s="1"/>
  <c r="C151" i="2"/>
  <c r="E151" i="2" s="1"/>
  <c r="C150" i="2"/>
  <c r="E150" i="2" s="1"/>
  <c r="C145" i="2"/>
  <c r="C140" i="2"/>
  <c r="D139" i="2"/>
  <c r="E134" i="2"/>
  <c r="C127" i="2"/>
  <c r="C123" i="2"/>
  <c r="C139" i="2" s="1"/>
  <c r="C122" i="2"/>
  <c r="C121" i="2"/>
  <c r="E118" i="2"/>
  <c r="E103" i="2"/>
  <c r="D102" i="2"/>
  <c r="E102" i="2" s="1"/>
  <c r="D101" i="2"/>
  <c r="E101" i="2" s="1"/>
  <c r="D100" i="2"/>
  <c r="E100" i="2" s="1"/>
  <c r="D99" i="2"/>
  <c r="E99" i="2" s="1"/>
  <c r="D98" i="2"/>
  <c r="E98" i="2" s="1"/>
  <c r="D97" i="2"/>
  <c r="E97" i="2" s="1"/>
  <c r="E90" i="2"/>
  <c r="E89" i="2"/>
  <c r="E88" i="2"/>
  <c r="E87" i="2"/>
  <c r="E86" i="2"/>
  <c r="E85" i="2"/>
  <c r="E84" i="2"/>
  <c r="E83" i="2"/>
  <c r="E82" i="2"/>
  <c r="E81" i="2"/>
  <c r="E80" i="2"/>
  <c r="F54" i="2"/>
  <c r="E54" i="2"/>
  <c r="E55" i="2" s="1"/>
  <c r="F44" i="2"/>
  <c r="E44" i="2"/>
  <c r="E36" i="2"/>
  <c r="A36" i="2"/>
  <c r="E32" i="2"/>
  <c r="C104" i="2" s="1"/>
  <c r="A32" i="2"/>
  <c r="C91" i="2"/>
  <c r="A31" i="2"/>
  <c r="A24" i="2"/>
  <c r="A23" i="2"/>
  <c r="A22" i="2"/>
  <c r="A21" i="2"/>
  <c r="A20" i="2"/>
  <c r="A19" i="2"/>
  <c r="A18" i="2"/>
  <c r="A17" i="2"/>
  <c r="A16" i="2"/>
  <c r="A15" i="2"/>
  <c r="A14" i="2"/>
  <c r="A12" i="2"/>
  <c r="A8" i="2"/>
  <c r="A7" i="2"/>
  <c r="D91" i="2" l="1"/>
  <c r="E91" i="2" s="1"/>
  <c r="F198" i="2"/>
  <c r="F200" i="2" s="1"/>
  <c r="E22" i="2" s="1"/>
  <c r="C136" i="2"/>
  <c r="E139" i="2"/>
  <c r="D184" i="2"/>
  <c r="E184" i="2" s="1"/>
  <c r="D185" i="2" s="1"/>
  <c r="E185" i="2" s="1"/>
  <c r="F186" i="2" s="1"/>
  <c r="D171" i="2"/>
  <c r="E205" i="2"/>
  <c r="D206" i="2" s="1"/>
  <c r="E206" i="2" s="1"/>
  <c r="F209" i="2" s="1"/>
  <c r="F211" i="2" s="1"/>
  <c r="E162" i="2"/>
  <c r="C164" i="2"/>
  <c r="E164" i="2" s="1"/>
  <c r="E56" i="2"/>
  <c r="D104" i="2"/>
  <c r="D153" i="2"/>
  <c r="E153" i="2" s="1"/>
  <c r="F154" i="2" s="1"/>
  <c r="E18" i="2" s="1"/>
  <c r="C168" i="2"/>
  <c r="E168" i="2" s="1"/>
  <c r="D45" i="2"/>
  <c r="E45" i="2" s="1"/>
  <c r="E46" i="2" s="1"/>
  <c r="D121" i="2"/>
  <c r="E121" i="2" s="1"/>
  <c r="D122" i="2" s="1"/>
  <c r="E122" i="2" s="1"/>
  <c r="E33" i="2"/>
  <c r="E123" i="2"/>
  <c r="C166" i="2"/>
  <c r="E166" i="2" s="1"/>
  <c r="C170" i="2"/>
  <c r="E170" i="2" s="1"/>
  <c r="E171" i="2" l="1"/>
  <c r="F172" i="2" s="1"/>
  <c r="E19" i="2" s="1"/>
  <c r="E21" i="2"/>
  <c r="E23" i="2"/>
  <c r="C137" i="2"/>
  <c r="D138" i="2" s="1"/>
  <c r="E138" i="2" s="1"/>
  <c r="F92" i="2"/>
  <c r="E104" i="2"/>
  <c r="F105" i="2" s="1"/>
  <c r="D47" i="2"/>
  <c r="E47" i="2" s="1"/>
  <c r="E48" i="2" s="1"/>
  <c r="D49" i="2" s="1"/>
  <c r="E49" i="2" s="1"/>
  <c r="F50" i="2" s="1"/>
  <c r="D57" i="2"/>
  <c r="E57" i="2" s="1"/>
  <c r="E58" i="2" s="1"/>
  <c r="D59" i="2" s="1"/>
  <c r="E59" i="2" s="1"/>
  <c r="F60" i="2" s="1"/>
  <c r="C141" i="2"/>
  <c r="D126" i="2"/>
  <c r="E126" i="2" s="1"/>
  <c r="D127" i="2" s="1"/>
  <c r="E127" i="2" s="1"/>
  <c r="E128" i="2" s="1"/>
  <c r="D129" i="2" s="1"/>
  <c r="E129" i="2" s="1"/>
  <c r="F130" i="2" s="1"/>
  <c r="F68" i="2" l="1"/>
  <c r="E9" i="2"/>
  <c r="E8" i="2"/>
  <c r="F107" i="2"/>
  <c r="E16" i="2"/>
  <c r="C142" i="2"/>
  <c r="D143" i="2" s="1"/>
  <c r="E143" i="2" s="1"/>
  <c r="E144" i="2" s="1"/>
  <c r="D145" i="2" s="1"/>
  <c r="E145" i="2" s="1"/>
  <c r="F146" i="2" s="1"/>
  <c r="F188" i="2" s="1"/>
  <c r="F70" i="2" l="1"/>
  <c r="E11" i="2" s="1"/>
  <c r="F109" i="2"/>
  <c r="E17" i="2"/>
  <c r="E15" i="2" s="1"/>
  <c r="E14" i="2" s="1"/>
  <c r="F110" i="2" l="1"/>
  <c r="E13" i="2"/>
  <c r="E65" i="2" s="1"/>
  <c r="F71" i="2"/>
  <c r="E7" i="2" s="1"/>
  <c r="E12" i="2" l="1"/>
  <c r="F213" i="2"/>
  <c r="D218" i="2" s="1"/>
  <c r="E218" i="2" s="1"/>
  <c r="F219" i="2" s="1"/>
  <c r="F221" i="2" s="1"/>
  <c r="E24" i="2" s="1"/>
  <c r="F231" i="2"/>
  <c r="E25" i="2" s="1"/>
  <c r="F224" i="2" l="1"/>
  <c r="F233" i="2" s="1"/>
  <c r="E26" i="2"/>
  <c r="C18" i="4"/>
  <c r="F11" i="4"/>
  <c r="E11" i="4"/>
  <c r="D11" i="4"/>
  <c r="C14" i="8"/>
  <c r="C34" i="5"/>
  <c r="C29" i="5"/>
  <c r="C28" i="5"/>
  <c r="F13" i="2" l="1"/>
  <c r="F10" i="2"/>
  <c r="F25" i="2"/>
  <c r="F11" i="2"/>
  <c r="F7" i="2"/>
  <c r="F19" i="2"/>
  <c r="F8" i="2"/>
  <c r="F20" i="2"/>
  <c r="F17" i="2"/>
  <c r="F9" i="2"/>
  <c r="F16" i="2"/>
  <c r="F23" i="2"/>
  <c r="F21" i="2"/>
  <c r="F12" i="2"/>
  <c r="F15" i="2"/>
  <c r="F24" i="2"/>
  <c r="F14" i="2"/>
  <c r="F18" i="2"/>
  <c r="F22" i="2"/>
  <c r="G28" i="5"/>
  <c r="C39" i="5"/>
  <c r="E37" i="5"/>
  <c r="D37" i="5" s="1"/>
  <c r="D38" i="5" s="1"/>
  <c r="C38" i="5" s="1"/>
  <c r="C32" i="8" s="1"/>
  <c r="F26" i="2" l="1"/>
  <c r="C22" i="8"/>
  <c r="C31" i="8" s="1"/>
  <c r="C33" i="8" s="1"/>
  <c r="K35" i="5"/>
  <c r="K36" i="5" s="1"/>
  <c r="K37" i="5" s="1"/>
  <c r="K38" i="5" s="1"/>
  <c r="K39" i="5" s="1"/>
  <c r="K40" i="5" s="1"/>
  <c r="K41" i="5" s="1"/>
  <c r="F37" i="5"/>
  <c r="G37" i="5" s="1"/>
  <c r="C37" i="5"/>
  <c r="C29" i="8" l="1"/>
  <c r="C34" i="8" s="1"/>
  <c r="G38" i="5"/>
  <c r="G32" i="5"/>
</calcChain>
</file>

<file path=xl/comments1.xml><?xml version="1.0" encoding="utf-8"?>
<comments xmlns="http://schemas.openxmlformats.org/spreadsheetml/2006/main">
  <authors>
    <author>Clauber Bridi</author>
  </authors>
  <commentList>
    <comment ref="A5" authorId="0" shapeId="0">
      <text>
        <r>
          <rPr>
            <sz val="9"/>
            <color indexed="81"/>
            <rFont val="Tahoma"/>
            <family val="2"/>
          </rPr>
          <t>Qualquer custo previsto no edital e não contemplado nesta planilha modelo deverá ser devidamente incluído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8" authorId="0" shapeId="0">
      <text>
        <r>
          <rPr>
            <b/>
            <sz val="9"/>
            <color indexed="81"/>
            <rFont val="Tahoma"/>
            <family val="2"/>
          </rPr>
          <t>Informar o fator de utilização das equipes de coleta. 
Por exemplo:
Equipes com utilização integral = 100%
Equipes com utilização parcial = n° horas trabalhadas por semana /44 horas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4" authorId="0" shapeId="0">
      <text>
        <r>
          <rPr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C47" authorId="0" shape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49" authorId="0" shape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54" authorId="0" shapeId="0">
      <text>
        <r>
          <rPr>
            <sz val="9"/>
            <color indexed="81"/>
            <rFont val="Tahoma"/>
            <family val="2"/>
          </rPr>
          <t>Informar o Piso da categoria fixado na Convenção Coletiva</t>
        </r>
      </text>
    </comment>
    <comment ref="C55" authorId="0" shapeId="0">
      <text>
        <r>
          <rPr>
            <sz val="9"/>
            <color indexed="81"/>
            <rFont val="Tahoma"/>
            <family val="2"/>
          </rPr>
          <t>Percentual estabelecido nas Normas de Segurança de Trabalho ou pelo laudo de responsável técnico devidamente habilitado</t>
        </r>
      </text>
    </comment>
    <comment ref="C57" authorId="0" shape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59" authorId="0" shape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64" authorId="0" shapeId="0">
      <text>
        <r>
          <rPr>
            <sz val="9"/>
            <color indexed="81"/>
            <rFont val="Tahoma"/>
            <family val="2"/>
          </rPr>
          <t>Valor Unitário considerando o desconto legal de até 6% do salário</t>
        </r>
      </text>
    </comment>
    <comment ref="D65" authorId="0" shapeId="0">
      <text>
        <r>
          <rPr>
            <sz val="9"/>
            <color indexed="81"/>
            <rFont val="Tahoma"/>
            <family val="2"/>
          </rPr>
          <t xml:space="preserve">Valor Unitário considerando o desconto legal de até 6% do salário
</t>
        </r>
      </text>
    </comment>
    <comment ref="C80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80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81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81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82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82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83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83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84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84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85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85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86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86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87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87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88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88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C89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89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EPI</t>
        </r>
      </text>
    </comment>
    <comment ref="D90" authorId="0" shapeId="0">
      <text>
        <r>
          <rPr>
            <sz val="9"/>
            <color indexed="81"/>
            <rFont val="Tahoma"/>
            <family val="2"/>
          </rPr>
          <t>Informar o valor mensal de higienização de uniforme para 1 funcionário</t>
        </r>
      </text>
    </comment>
    <comment ref="C97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98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99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00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01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02" authorId="0" shape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03" authorId="0" shapeId="0">
      <text>
        <r>
          <rPr>
            <sz val="9"/>
            <color indexed="81"/>
            <rFont val="Tahoma"/>
            <family val="2"/>
          </rPr>
          <t>Informar o valor mensal de higienização de uniforme para 1 funcionário</t>
        </r>
      </text>
    </comment>
    <comment ref="D118" authorId="0" shapeId="0">
      <text>
        <r>
          <rPr>
            <sz val="9"/>
            <color indexed="81"/>
            <rFont val="Tahoma"/>
            <family val="2"/>
          </rPr>
          <t>Informar o preço unitário do chassis do caminhão de coleta</t>
        </r>
      </text>
    </comment>
    <comment ref="C119" authorId="0" shapeId="0">
      <text>
        <r>
          <rPr>
            <sz val="9"/>
            <color indexed="81"/>
            <rFont val="Tahoma"/>
            <family val="2"/>
          </rPr>
          <t>Informar a vida útil estimada para o caminhão, em anos</t>
        </r>
      </text>
    </comment>
    <comment ref="C120" authorId="0" shape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veículo proposto.</t>
        </r>
      </text>
    </comment>
    <comment ref="C121" authorId="0" shapeId="0">
      <text>
        <r>
          <rPr>
            <b/>
            <sz val="9"/>
            <color indexed="81"/>
            <rFont val="Tahoma"/>
            <family val="2"/>
          </rPr>
          <t xml:space="preserve">Informar o valor da depreciação do caminhão,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3" authorId="0" shapeId="0">
      <text>
        <r>
          <rPr>
            <sz val="9"/>
            <color indexed="81"/>
            <rFont val="Tahoma"/>
            <family val="2"/>
          </rPr>
          <t xml:space="preserve">Informar o preço unitário do equipamento compactador
</t>
        </r>
      </text>
    </comment>
    <comment ref="C124" authorId="0" shapeId="0">
      <text>
        <r>
          <rPr>
            <sz val="9"/>
            <color indexed="81"/>
            <rFont val="Tahoma"/>
            <family val="2"/>
          </rPr>
          <t>Informar a vida útil estimada para o compactador, em anos</t>
        </r>
      </text>
    </comment>
    <comment ref="C125" authorId="0" shape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compactador proposto.</t>
        </r>
      </text>
    </comment>
    <comment ref="C126" authorId="0" shapeId="0">
      <text>
        <r>
          <rPr>
            <b/>
            <sz val="9"/>
            <color indexed="81"/>
            <rFont val="Tahoma"/>
            <family val="2"/>
          </rPr>
          <t xml:space="preserve">Informar o valor da depreciação do compactador,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9" authorId="0" shapeId="0">
      <text>
        <r>
          <rPr>
            <sz val="9"/>
            <color indexed="81"/>
            <rFont val="Tahoma"/>
            <family val="2"/>
          </rPr>
          <t>Informar a quantidade de caminhões compactadores do respectivo modelo</t>
        </r>
      </text>
    </comment>
    <comment ref="C135" authorId="0" shapeId="0">
      <text>
        <r>
          <rPr>
            <b/>
            <sz val="9"/>
            <color indexed="81"/>
            <rFont val="Tahoma"/>
            <family val="2"/>
          </rPr>
          <t>Informar a taxa de juros anual para remuneração do capital. Recomenda-se o uso da Taxa SELIC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1" authorId="0" shapeId="0">
      <text>
        <r>
          <rPr>
            <sz val="9"/>
            <color indexed="81"/>
            <rFont val="Tahoma"/>
            <family val="2"/>
          </rPr>
          <t xml:space="preserve">Informar o valor do seguro obrigatório e licenciamento anual de um caminhão
</t>
        </r>
      </text>
    </comment>
    <comment ref="D152" authorId="0" shapeId="0">
      <text>
        <r>
          <rPr>
            <sz val="9"/>
            <color indexed="81"/>
            <rFont val="Tahoma"/>
            <family val="2"/>
          </rPr>
          <t xml:space="preserve">Informar o valor do seguro contra terceiros de um caminhão, se houver
</t>
        </r>
      </text>
    </comment>
    <comment ref="B158" authorId="0" shapeId="0">
      <text>
        <r>
          <rPr>
            <sz val="9"/>
            <color indexed="81"/>
            <rFont val="Tahoma"/>
            <family val="2"/>
          </rPr>
          <t xml:space="preserve">Informar a quilometragem mensal percorrida, de acordo com o projeto básico
</t>
        </r>
      </text>
    </comment>
    <comment ref="C161" authorId="0" shapeId="0">
      <text>
        <r>
          <rPr>
            <sz val="9"/>
            <color indexed="81"/>
            <rFont val="Tahoma"/>
            <family val="2"/>
          </rPr>
          <t>Informar o consumo estimado do veículo em km/l</t>
        </r>
      </text>
    </comment>
    <comment ref="D161" authorId="0" shapeId="0">
      <text>
        <r>
          <rPr>
            <sz val="9"/>
            <color indexed="81"/>
            <rFont val="Tahoma"/>
            <family val="2"/>
          </rPr>
          <t xml:space="preserve">Informar o preço unitário do combustivel
</t>
        </r>
      </text>
    </comment>
    <comment ref="C163" authorId="0" shapeId="0">
      <text>
        <r>
          <rPr>
            <sz val="9"/>
            <color indexed="81"/>
            <rFont val="Tahoma"/>
            <family val="2"/>
          </rPr>
          <t>Informar o consumo de óleo do motor a cada 1000km</t>
        </r>
      </text>
    </comment>
    <comment ref="D163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do motor
</t>
        </r>
      </text>
    </comment>
    <comment ref="C165" authorId="0" shapeId="0">
      <text>
        <r>
          <rPr>
            <sz val="9"/>
            <color indexed="81"/>
            <rFont val="Tahoma"/>
            <family val="2"/>
          </rPr>
          <t>Informar o consumo de óleo da transmissão a cada 1000km</t>
        </r>
      </text>
    </comment>
    <comment ref="D165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da transmissão
</t>
        </r>
      </text>
    </comment>
    <comment ref="C167" authorId="0" shapeId="0">
      <text>
        <r>
          <rPr>
            <sz val="9"/>
            <color indexed="81"/>
            <rFont val="Tahoma"/>
            <family val="2"/>
          </rPr>
          <t>Informar o consumo de óleo hidráulico a cada 1000km</t>
        </r>
      </text>
    </comment>
    <comment ref="D167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do óleo hidráulico
</t>
        </r>
      </text>
    </comment>
    <comment ref="C169" authorId="0" shapeId="0">
      <text>
        <r>
          <rPr>
            <sz val="9"/>
            <color indexed="81"/>
            <rFont val="Tahoma"/>
            <family val="2"/>
          </rPr>
          <t>Informar o consumo de graxa a cada 1000km</t>
        </r>
      </text>
    </comment>
    <comment ref="D169" authorId="0" shapeId="0">
      <text>
        <r>
          <rPr>
            <sz val="9"/>
            <color indexed="81"/>
            <rFont val="Tahoma"/>
            <family val="2"/>
          </rPr>
          <t xml:space="preserve">Informar o preço unitário do litro da graxa
</t>
        </r>
      </text>
    </comment>
    <comment ref="D176" authorId="0" shapeId="0">
      <text>
        <r>
          <rPr>
            <sz val="9"/>
            <color indexed="81"/>
            <rFont val="Tahoma"/>
            <family val="2"/>
          </rPr>
          <t xml:space="preserve">Informar o custo de manutenção em R$/km rodado
</t>
        </r>
      </text>
    </comment>
    <comment ref="C181" authorId="0" shapeId="0">
      <text>
        <r>
          <rPr>
            <sz val="9"/>
            <color indexed="81"/>
            <rFont val="Tahoma"/>
            <family val="2"/>
          </rPr>
          <t>Informar a quantidade de pneus novos de 1 caminhão</t>
        </r>
      </text>
    </comment>
    <comment ref="D181" authorId="0" shapeId="0">
      <text>
        <r>
          <rPr>
            <sz val="9"/>
            <color indexed="81"/>
            <rFont val="Tahoma"/>
            <family val="2"/>
          </rPr>
          <t xml:space="preserve">Informar o preço unitário de cada pneu
</t>
        </r>
      </text>
    </comment>
    <comment ref="C182" authorId="0" shapeId="0">
      <text>
        <r>
          <rPr>
            <sz val="9"/>
            <color indexed="81"/>
            <rFont val="Tahoma"/>
            <family val="2"/>
          </rPr>
          <t>Informar o número de recapagens por pneu</t>
        </r>
      </text>
    </comment>
    <comment ref="D183" authorId="0" shapeId="0">
      <text>
        <r>
          <rPr>
            <sz val="9"/>
            <color indexed="81"/>
            <rFont val="Tahoma"/>
            <family val="2"/>
          </rPr>
          <t xml:space="preserve">Informar o preço unitário de cada recapagem
</t>
        </r>
      </text>
    </comment>
    <comment ref="C184" authorId="0" shapeId="0">
      <text>
        <r>
          <rPr>
            <sz val="9"/>
            <color indexed="81"/>
            <rFont val="Tahoma"/>
            <family val="2"/>
          </rPr>
          <t xml:space="preserve">Informar a durabilidade média dos pneus considerando as recapagens, em km
</t>
        </r>
      </text>
    </comment>
    <comment ref="C193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193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194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194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195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195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196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196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197" authorId="0" shape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197" authorId="0" shape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A202" authorId="0" shapeId="0">
      <text>
        <r>
          <rPr>
            <b/>
            <sz val="9"/>
            <color indexed="81"/>
            <rFont val="Tahoma"/>
            <family val="2"/>
          </rPr>
          <t>Especificar somente quando for exigido no Projeto Básico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5" authorId="0" shapeId="0">
      <text>
        <r>
          <rPr>
            <sz val="9"/>
            <color indexed="81"/>
            <rFont val="Tahoma"/>
            <family val="2"/>
          </rPr>
          <t>Informar o valor total para instalação do equipamento de monitoramento da frota, se houver</t>
        </r>
      </text>
    </comment>
    <comment ref="D207" authorId="0" shapeId="0">
      <text>
        <r>
          <rPr>
            <sz val="9"/>
            <color indexed="81"/>
            <rFont val="Tahoma"/>
            <family val="2"/>
          </rPr>
          <t>Informar o valor unitário mensal para manutenção dos equipamentos de monitoramento</t>
        </r>
      </text>
    </comment>
    <comment ref="C218" authorId="0" shapeId="0">
      <text>
        <r>
          <rPr>
            <sz val="9"/>
            <color indexed="81"/>
            <rFont val="Tahoma"/>
            <family val="2"/>
          </rPr>
          <t>Preencher a aba 4.BDI</t>
        </r>
      </text>
    </comment>
    <comment ref="D226" authorId="0" shapeId="0">
      <text>
        <r>
          <rPr>
            <sz val="9"/>
            <color indexed="81"/>
            <rFont val="Tahoma"/>
            <family val="2"/>
          </rPr>
          <t xml:space="preserve">Informar a quantidade média coletada nos últimos 12 meses
</t>
        </r>
      </text>
    </comment>
    <comment ref="C230" authorId="0" shapeId="0">
      <text>
        <r>
          <rPr>
            <sz val="9"/>
            <color indexed="81"/>
            <rFont val="Tahoma"/>
            <family val="2"/>
          </rPr>
          <t>Preencher a aba 4.BDI</t>
        </r>
      </text>
    </comment>
  </commentList>
</comments>
</file>

<file path=xl/comments2.xml><?xml version="1.0" encoding="utf-8"?>
<comments xmlns="http://schemas.openxmlformats.org/spreadsheetml/2006/main">
  <authors>
    <author>Jorge Mesquita</author>
  </authors>
  <commentList>
    <comment ref="G37" authorId="0" shapeId="0">
      <text>
        <r>
          <rPr>
            <b/>
            <sz val="9"/>
            <color indexed="81"/>
            <rFont val="Tahoma"/>
            <family val="2"/>
          </rPr>
          <t>Jorge Mesquita:</t>
        </r>
        <r>
          <rPr>
            <sz val="9"/>
            <color indexed="81"/>
            <rFont val="Tahoma"/>
            <family val="2"/>
          </rPr>
          <t xml:space="preserve">
Criar um tipo de arredondamento.
</t>
        </r>
      </text>
    </comment>
  </commentList>
</comments>
</file>

<file path=xl/comments3.xml><?xml version="1.0" encoding="utf-8"?>
<comments xmlns="http://schemas.openxmlformats.org/spreadsheetml/2006/main">
  <authors>
    <author>Clauber Bridi</author>
  </authors>
  <commentList>
    <comment ref="C10" authorId="0" shapeId="0">
      <text>
        <r>
          <rPr>
            <b/>
            <sz val="9"/>
            <color indexed="81"/>
            <rFont val="Tahoma"/>
            <family val="2"/>
          </rPr>
          <t>Informar o % de Administração Central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Informar o % de Seguros, Riscos e Garantia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" authorId="0" shapeId="0">
      <text>
        <r>
          <rPr>
            <b/>
            <sz val="9"/>
            <color indexed="81"/>
            <rFont val="Tahoma"/>
            <family val="2"/>
          </rPr>
          <t>Informar o % de Lucro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Informar o valor anual da taxa financeira, em percentual. Admite-se utilizar a SELIC</t>
        </r>
      </text>
    </comment>
    <comment ref="C14" authorId="0" shapeId="0">
      <text>
        <r>
          <rPr>
            <b/>
            <sz val="9"/>
            <color indexed="81"/>
            <rFont val="Tahoma"/>
            <family val="2"/>
          </rPr>
          <t>Informar o percentual de ISS, de acordo com a legislação tributária do município onde serão prestados os serviços. De 2% até o limite de 5%.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</rPr>
          <t>Informar a média de dias úteis entre data de pagamento prevista no contrato e a data final do período de adimplemento da parcela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</rPr>
          <t xml:space="preserve">Informar o valor estimado de PIS/COFINS. </t>
        </r>
        <r>
          <rPr>
            <sz val="9"/>
            <color indexed="81"/>
            <rFont val="Tahoma"/>
            <family val="2"/>
          </rPr>
          <t xml:space="preserve">
1. Adotar 0,65% PIS + 3% COFINS quando o valor anual estimado do contrato for inferior ao limite para tributação pelo regime de incidência não-cumulativa (lucro presumido);
2. Adotar 1,65% PIS + 7,6% COFINS quando o valor anual estimado do contrato for superior ao limite para tributação pelo regime de incidência não-cumulativa (lucro real);</t>
        </r>
      </text>
    </comment>
  </commentList>
</comments>
</file>

<file path=xl/comments4.xml><?xml version="1.0" encoding="utf-8"?>
<comments xmlns="http://schemas.openxmlformats.org/spreadsheetml/2006/main">
  <authors>
    <author>cbridi</author>
    <author>Clauber Bridi</author>
    <author>Omar</author>
  </authors>
  <commentList>
    <comment ref="C9" authorId="0" shapeId="0">
      <text>
        <r>
          <rPr>
            <sz val="8"/>
            <color indexed="81"/>
            <rFont val="Tahoma"/>
            <family val="2"/>
          </rPr>
          <t>Informar a população do município a ser atendida</t>
        </r>
      </text>
    </comment>
    <comment ref="C10" authorId="1" shapeId="0">
      <text>
        <r>
          <rPr>
            <b/>
            <sz val="9"/>
            <color indexed="81"/>
            <rFont val="Tahoma"/>
            <family val="2"/>
          </rPr>
          <t>Caso o município possua informações de pesagem, ajustar com o valor da geração média per capita realizada nos últimos 12 meses</t>
        </r>
      </text>
    </comment>
    <comment ref="C11" authorId="2" shapeId="0">
      <text>
        <r>
          <rPr>
            <sz val="9"/>
            <color indexed="81"/>
            <rFont val="Tahoma"/>
            <family val="2"/>
          </rPr>
          <t>retorna a geração diária a ser recolhida</t>
        </r>
      </text>
    </comment>
    <comment ref="C13" authorId="0" shapeId="0">
      <text>
        <r>
          <rPr>
            <b/>
            <sz val="8"/>
            <color indexed="81"/>
            <rFont val="Tahoma"/>
            <family val="2"/>
          </rPr>
          <t>Informe o número de dias de coleta por semana</t>
        </r>
      </text>
    </comment>
    <comment ref="C16" authorId="0" shapeId="0">
      <text>
        <r>
          <rPr>
            <sz val="8"/>
            <color indexed="81"/>
            <rFont val="Tahoma"/>
            <family val="2"/>
          </rPr>
          <t>Informar 1 para caminhão toco; Informar 2 para caminhão truck</t>
        </r>
        <r>
          <rPr>
            <b/>
            <sz val="8"/>
            <color indexed="81"/>
            <rFont val="Tahoma"/>
            <family val="2"/>
          </rPr>
          <t xml:space="preserve"> </t>
        </r>
      </text>
    </comment>
    <comment ref="C17" authorId="0" shapeId="0">
      <text>
        <r>
          <rPr>
            <sz val="8"/>
            <color indexed="81"/>
            <rFont val="Tahoma"/>
            <family val="2"/>
          </rPr>
          <t>Informar a capacidade do compactador em m³</t>
        </r>
      </text>
    </comment>
    <comment ref="C20" authorId="1" shapeId="0">
      <text>
        <r>
          <rPr>
            <sz val="8"/>
            <color indexed="81"/>
            <rFont val="Tahoma"/>
            <family val="2"/>
          </rPr>
          <t xml:space="preserve">Informar o número de percursos de coleta (cargas) que cada caminhão realiza por dia, considerando todos os turnos de trabalho. </t>
        </r>
      </text>
    </comment>
  </commentList>
</comments>
</file>

<file path=xl/sharedStrings.xml><?xml version="1.0" encoding="utf-8"?>
<sst xmlns="http://schemas.openxmlformats.org/spreadsheetml/2006/main" count="492" uniqueCount="301">
  <si>
    <t>Adicional de Insalubridade</t>
  </si>
  <si>
    <t>%</t>
  </si>
  <si>
    <t>Soma</t>
  </si>
  <si>
    <t>Encargos Sociais</t>
  </si>
  <si>
    <t>Total do Efetivo</t>
  </si>
  <si>
    <t>homem</t>
  </si>
  <si>
    <t>mês</t>
  </si>
  <si>
    <t>unidade</t>
  </si>
  <si>
    <t>Colete reflexivo</t>
  </si>
  <si>
    <t>IPVA</t>
  </si>
  <si>
    <t>Seguro contra terceiros</t>
  </si>
  <si>
    <t>Impostos e seguros mensais</t>
  </si>
  <si>
    <t>Custo de óleo diesel / km rodado</t>
  </si>
  <si>
    <t>km/l</t>
  </si>
  <si>
    <t>Custo mensal com óleo diesel</t>
  </si>
  <si>
    <t>km</t>
  </si>
  <si>
    <t>l/1.000 km</t>
  </si>
  <si>
    <t>Custo mensal com óleo do motor</t>
  </si>
  <si>
    <t>Custo mensal com óleo da transmissão</t>
  </si>
  <si>
    <t>Custo mensal com óleo hidráulico</t>
  </si>
  <si>
    <t>Custo de graxa /1.000 km rodados</t>
  </si>
  <si>
    <t>kg/1.000 km</t>
  </si>
  <si>
    <t>Custo mensal com graxa</t>
  </si>
  <si>
    <t>km/jogo</t>
  </si>
  <si>
    <t>toneladas</t>
  </si>
  <si>
    <t>Pá de Concha</t>
  </si>
  <si>
    <t>Vassoura</t>
  </si>
  <si>
    <t>Calça</t>
  </si>
  <si>
    <t>Camiseta</t>
  </si>
  <si>
    <t>Boné</t>
  </si>
  <si>
    <t>Luva de proteção</t>
  </si>
  <si>
    <t>R$</t>
  </si>
  <si>
    <t>Benefícios e despesas indiretas</t>
  </si>
  <si>
    <t>Custo mensal com manutenção</t>
  </si>
  <si>
    <t>Custo (R$/mês)</t>
  </si>
  <si>
    <t>Mão-de-obra</t>
  </si>
  <si>
    <t>Quantidade</t>
  </si>
  <si>
    <t>INSS</t>
  </si>
  <si>
    <t>FGTS</t>
  </si>
  <si>
    <t>2. Uniformes e Equipamentos de Proteção Individual</t>
  </si>
  <si>
    <t>3.1.1. Depreciação</t>
  </si>
  <si>
    <t>1. Mão-de-obra</t>
  </si>
  <si>
    <t>par</t>
  </si>
  <si>
    <t>frasco 120g</t>
  </si>
  <si>
    <t>Depreciação mensal veículos coletores</t>
  </si>
  <si>
    <t>3.1.3. Impostos e Seguros</t>
  </si>
  <si>
    <t>3.1.4. Consumos</t>
  </si>
  <si>
    <t>3.1.5. Manutenção</t>
  </si>
  <si>
    <t>3. Veículos e Equipamentos</t>
  </si>
  <si>
    <t>Custo mensal com pneus</t>
  </si>
  <si>
    <t>Veículos e Equipamentos</t>
  </si>
  <si>
    <t>Publicidade (adesivos equipamentos)</t>
  </si>
  <si>
    <t>cj</t>
  </si>
  <si>
    <t>Total de mão-de-obra (postos de trabalho)</t>
  </si>
  <si>
    <t>Publicidade (adesivos veículos)</t>
  </si>
  <si>
    <t>Custo mensal com implantação</t>
  </si>
  <si>
    <t>3.1.6. Pneus</t>
  </si>
  <si>
    <t>Protetor solar FPS 30</t>
  </si>
  <si>
    <t>Discriminação</t>
  </si>
  <si>
    <t>Unidade</t>
  </si>
  <si>
    <t>Subtotal</t>
  </si>
  <si>
    <r>
      <t xml:space="preserve">Total </t>
    </r>
    <r>
      <rPr>
        <b/>
        <u/>
        <sz val="9"/>
        <rFont val="Arial"/>
        <family val="2"/>
      </rPr>
      <t>(R$)</t>
    </r>
  </si>
  <si>
    <t>Jaqueta com reflexivo (NBR 15.292)</t>
  </si>
  <si>
    <t>Capa de chuva amarela com reflexivo</t>
  </si>
  <si>
    <t>Botina de segurança c/ palmilha aço</t>
  </si>
  <si>
    <t>Custo de recapagem</t>
  </si>
  <si>
    <t>Recipiente térmico para água (5L)</t>
  </si>
  <si>
    <t>Total por Coletor</t>
  </si>
  <si>
    <t>4. Ferramentas e Materiais de Consumo</t>
  </si>
  <si>
    <t>5. Monitoramento da Frota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</si>
  <si>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</si>
  <si>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</si>
  <si>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</si>
  <si>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</si>
  <si>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</si>
  <si>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</si>
  <si>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</si>
  <si>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</si>
  <si>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Tributos - ISS</t>
  </si>
  <si>
    <t>T</t>
  </si>
  <si>
    <t>Tributos - PIS/COFINS</t>
  </si>
  <si>
    <t>Fórmula para o cálculo do BDI:</t>
  </si>
  <si>
    <t>{[(1+AC+SRG) x (1+L) x (1+DF)] / (1-T)} -1</t>
  </si>
  <si>
    <t>Resultado do cálculo do BDI:</t>
  </si>
  <si>
    <t>6. Benefícios e Despesas Indiretas - BDI</t>
  </si>
  <si>
    <t>Meia de algodão com cano alto</t>
  </si>
  <si>
    <t>Quantitativos</t>
  </si>
  <si>
    <t>1.1. Coletor Turno Dia</t>
  </si>
  <si>
    <t>Vida útil do chassis</t>
  </si>
  <si>
    <t>anos</t>
  </si>
  <si>
    <t>Depreciação do chassis</t>
  </si>
  <si>
    <t>Custo de aquisição do chassis</t>
  </si>
  <si>
    <t>i = taxa de juros do mercado (sugere-se adotar a taxa SELIC)</t>
  </si>
  <si>
    <t>n = vida útil do bem em anos</t>
  </si>
  <si>
    <t>Custo do chassis</t>
  </si>
  <si>
    <t>3.1.2. Remuneração do Capital</t>
  </si>
  <si>
    <t>Im = investimento médio</t>
  </si>
  <si>
    <t>Investimento médio total do chassis</t>
  </si>
  <si>
    <t>Remuneração mensal de capital do chassis</t>
  </si>
  <si>
    <t>Custo de manutenção dos caminhões</t>
  </si>
  <si>
    <t>Quilometragem mensal</t>
  </si>
  <si>
    <t>R$/km rodado</t>
  </si>
  <si>
    <t>Número de recapagens por pneu</t>
  </si>
  <si>
    <t>R$ mensal</t>
  </si>
  <si>
    <t>Admissões</t>
  </si>
  <si>
    <t>Desligamentos</t>
  </si>
  <si>
    <t>Dispensados com justa causa</t>
  </si>
  <si>
    <t>Dispensados sem justa causa</t>
  </si>
  <si>
    <t>Espontâneos</t>
  </si>
  <si>
    <t>Fim de contrato por prazo determinado</t>
  </si>
  <si>
    <t>Término de contrato</t>
  </si>
  <si>
    <t>Aposentados</t>
  </si>
  <si>
    <t>Mortos</t>
  </si>
  <si>
    <t>Transferência de saída</t>
  </si>
  <si>
    <t xml:space="preserve"> </t>
  </si>
  <si>
    <t>Indicadores</t>
  </si>
  <si>
    <t>Rotatividade</t>
  </si>
  <si>
    <t>Demitidos s/ Justa Causa em relação ao Estoque Médio</t>
  </si>
  <si>
    <t>Dias ano</t>
  </si>
  <si>
    <t>Estoque Médio</t>
  </si>
  <si>
    <t>Multa FGTS</t>
  </si>
  <si>
    <t>Fração de tempo para gozo férias</t>
  </si>
  <si>
    <t>Dias de Aviso prévio</t>
  </si>
  <si>
    <t>Código</t>
  </si>
  <si>
    <t>Descrição</t>
  </si>
  <si>
    <t>Valor</t>
  </si>
  <si>
    <t>A1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</si>
  <si>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</si>
  <si>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</si>
  <si>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</si>
  <si>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</si>
  <si>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</si>
  <si>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</si>
  <si>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</si>
  <si>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</si>
  <si>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</si>
  <si>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</si>
  <si>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</si>
  <si>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</si>
  <si>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</si>
  <si>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A</t>
  </si>
  <si>
    <t>SOMA GRUPO A</t>
  </si>
  <si>
    <t>B1</t>
  </si>
  <si>
    <t>Férias gozadas</t>
  </si>
  <si>
    <t>B2</t>
  </si>
  <si>
    <t>13º salário</t>
  </si>
  <si>
    <t>B4</t>
  </si>
  <si>
    <t>Licença Paternidade</t>
  </si>
  <si>
    <t>B5</t>
  </si>
  <si>
    <t>Faltas justificadas</t>
  </si>
  <si>
    <t>B6</t>
  </si>
  <si>
    <t>Auxilio acidente de trabalho</t>
  </si>
  <si>
    <t>Auxilio doença</t>
  </si>
  <si>
    <t>B</t>
  </si>
  <si>
    <t>SOMA GRUPO B</t>
  </si>
  <si>
    <t>C1</t>
  </si>
  <si>
    <t>Aviso prévio indenizado</t>
  </si>
  <si>
    <t>C3</t>
  </si>
  <si>
    <t xml:space="preserve">Férias indenizadas </t>
  </si>
  <si>
    <t>C4</t>
  </si>
  <si>
    <t>Férias indenizadas s/ aviso previo inden.</t>
  </si>
  <si>
    <t>C5</t>
  </si>
  <si>
    <t>Depósito rescisão sem justa causa</t>
  </si>
  <si>
    <t>Indenização adicional</t>
  </si>
  <si>
    <t>C</t>
  </si>
  <si>
    <t>SOMA GRUPO C</t>
  </si>
  <si>
    <t>D1</t>
  </si>
  <si>
    <t>Reincidência de Grupo A sobre Grupo B</t>
  </si>
  <si>
    <t>D2</t>
  </si>
  <si>
    <t>Reincidência de Grupo A sobre aviso prévio indenizado</t>
  </si>
  <si>
    <t>D</t>
  </si>
  <si>
    <t>SOMA GRUPO D</t>
  </si>
  <si>
    <t>SOMA (A+B+C+D)</t>
  </si>
  <si>
    <t>1° Quartil</t>
  </si>
  <si>
    <t>Médio</t>
  </si>
  <si>
    <t>3° Quartil</t>
  </si>
  <si>
    <t>DU</t>
  </si>
  <si>
    <t>Licenciamento e Seguro obrigatório</t>
  </si>
  <si>
    <t>Fator de utilização</t>
  </si>
  <si>
    <t>Fator de utilização (FU)</t>
  </si>
  <si>
    <t>2.1. Uniformes e EPIs para Coletor</t>
  </si>
  <si>
    <t>Higienização de uniformes e EPIs</t>
  </si>
  <si>
    <t>2.2. Uniformes e EPIs para demais categorias</t>
  </si>
  <si>
    <t>Custo Mensal com Uniformes e EPIs (R$/mês)</t>
  </si>
  <si>
    <t>Descrição do Item</t>
  </si>
  <si>
    <t>Orçamento Sintético</t>
  </si>
  <si>
    <t>Orientações para preenchimento:</t>
  </si>
  <si>
    <t>2. Preencher somente células em amarelo</t>
  </si>
  <si>
    <t>Rio Grande do Sul  - Coleta de Resíduos Não-Perigosos - CNAE 38114</t>
  </si>
  <si>
    <t xml:space="preserve">1. Acesse o Portal do CAGED no link http://bi.mte.gov.br/cagedestabelecimento/pages/consulta.xhtml </t>
  </si>
  <si>
    <t>3. Nível Geográfico: selecione "Unidade da Federação" e marque a opção "Rio Grande do Sul"</t>
  </si>
  <si>
    <t>4. Nível Setorial: selecione "Classe de atividade econômica segundo a classificação CNAE – versão 2.0 (669 categorias)" e marque a opção "38114 – Coleta de Resíduos Não-Perigosos"</t>
  </si>
  <si>
    <t>5. Clique em Gerar Relatório</t>
  </si>
  <si>
    <t>Para preencher esta planilha siga os passos 1 a 5:</t>
  </si>
  <si>
    <t>Idade do veículo (ano)</t>
  </si>
  <si>
    <t>Idade do veículo</t>
  </si>
  <si>
    <t>Valor do veículo proposto (V0)</t>
  </si>
  <si>
    <t>Taxa de juros anual nominal</t>
  </si>
  <si>
    <t>Piso da categoria</t>
  </si>
  <si>
    <t>Piso da categoria (1)</t>
  </si>
  <si>
    <t>C2</t>
  </si>
  <si>
    <t>B3</t>
  </si>
  <si>
    <t xml:space="preserve">Quantidade média de resíduos coletados por mês: </t>
  </si>
  <si>
    <t>Custo Mensal com Monitoramento da Frota (R$/mês)</t>
  </si>
  <si>
    <t>Implantação dos equipamentos de monitoramento</t>
  </si>
  <si>
    <t>Manutenção dos equipamentos de monitoramento</t>
  </si>
  <si>
    <t>Custo Mensal com Ferramentas e Materiais de Consumo (R$/mês)</t>
  </si>
  <si>
    <t>CUSTO TOTAL MENSAL COM DESPESAS OPERACIONAIS (R$/mês)</t>
  </si>
  <si>
    <t>PREÇO MENSAL TOTAL (R$/mês)</t>
  </si>
  <si>
    <t>3. CAGED</t>
  </si>
  <si>
    <t>4. Composição do BDI - Benefícios e Despesas Indiretas</t>
  </si>
  <si>
    <t xml:space="preserve">2. Composição dos Encargos Sociais </t>
  </si>
  <si>
    <t>5. Depreciação Referencial TCE/RS (%)</t>
  </si>
  <si>
    <r>
      <t>J</t>
    </r>
    <r>
      <rPr>
        <vertAlign val="subscript"/>
        <sz val="12"/>
        <color indexed="8"/>
        <rFont val="Arial"/>
        <family val="2"/>
      </rPr>
      <t>m</t>
    </r>
    <r>
      <rPr>
        <sz val="12"/>
        <color indexed="8"/>
        <rFont val="Arial"/>
        <family val="2"/>
      </rPr>
      <t xml:space="preserve"> = remuneração de capital mensal</t>
    </r>
  </si>
  <si>
    <r>
      <t>V</t>
    </r>
    <r>
      <rPr>
        <vertAlign val="subscript"/>
        <sz val="12"/>
        <color indexed="8"/>
        <rFont val="Arial"/>
        <family val="2"/>
      </rPr>
      <t>0</t>
    </r>
    <r>
      <rPr>
        <sz val="12"/>
        <color indexed="8"/>
        <rFont val="Arial"/>
        <family val="2"/>
      </rPr>
      <t xml:space="preserve"> = valor inicial do bem</t>
    </r>
  </si>
  <si>
    <r>
      <t>V</t>
    </r>
    <r>
      <rPr>
        <vertAlign val="subscript"/>
        <sz val="12"/>
        <color indexed="8"/>
        <rFont val="Arial"/>
        <family val="2"/>
      </rPr>
      <t>r</t>
    </r>
    <r>
      <rPr>
        <sz val="12"/>
        <color indexed="8"/>
        <rFont val="Arial"/>
        <family val="2"/>
      </rPr>
      <t xml:space="preserve"> = valor residual do bem</t>
    </r>
  </si>
  <si>
    <t>6. Remuneração de Capital</t>
  </si>
  <si>
    <t>Custo unitário</t>
  </si>
  <si>
    <t>Custo de óleo do motor /1.000 km rodados</t>
  </si>
  <si>
    <t>Custo de óleo da transmissão /1.000 km</t>
  </si>
  <si>
    <t>Custo de óleo hidráulico / 1.000 km</t>
  </si>
  <si>
    <t>PREÇO TOTAL MENSAL COM A COLETA</t>
  </si>
  <si>
    <t>CUSTO MENSAL COM BDI (R$/mês)</t>
  </si>
  <si>
    <t>CÁLCULO DAS VERBAS INDENIZATÓRIAS DOS EMPREGADOS NO SETOR DE COLETA DE RSU</t>
  </si>
  <si>
    <t>6. Preencha as células em amarelo</t>
  </si>
  <si>
    <t>1/3 de férias (dias)</t>
  </si>
  <si>
    <t>Férias (dias)</t>
  </si>
  <si>
    <t>13º Salário (dias)</t>
  </si>
  <si>
    <t>Referência estudo TCE</t>
  </si>
  <si>
    <t>1. Preencha previamente os dados de entrada na planilha 3.CAGED</t>
  </si>
  <si>
    <t>Rotatividade temporal (meses)</t>
  </si>
  <si>
    <t>1. Esta planilha é somente um modelo-base e deve ser ajustada conforme cada caso concreto.</t>
  </si>
  <si>
    <t>Fórmula de cálculo da remuneração de capital:</t>
  </si>
  <si>
    <t>Total por Motorista</t>
  </si>
  <si>
    <t>2. Na Especificação da Consulta, selecione "Demonstrativo por período" e informe as competências relativas ao período Inicial e Final (últimos 12 meses)</t>
  </si>
  <si>
    <t>Durabilidade (meses)</t>
  </si>
  <si>
    <t>Custo com consumos/km rodado</t>
  </si>
  <si>
    <t>Consumo</t>
  </si>
  <si>
    <t>Total por veículo</t>
  </si>
  <si>
    <t>Total da frota</t>
  </si>
  <si>
    <t>Estoque recuperado início do Período 01-09-2016</t>
  </si>
  <si>
    <t>Estoque recuperado final do Período 31-08-2017</t>
  </si>
  <si>
    <t>Variação Emprego Absoluta de 01-09-2016 a 31-08-2017</t>
  </si>
  <si>
    <t>i</t>
  </si>
  <si>
    <t>Depreciação Média</t>
  </si>
  <si>
    <t>1.2. Motorista Turno do Dia</t>
  </si>
  <si>
    <t xml:space="preserve">1. Coleta de Resíduos Sólidos </t>
  </si>
  <si>
    <t>Planilha de Composição de Custos</t>
  </si>
  <si>
    <r>
      <t>3.1. Veículo Coletor Compactador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15 m³</t>
    </r>
  </si>
  <si>
    <t>Custo de aquisição do compactador</t>
  </si>
  <si>
    <t>Vida útil do compactador</t>
  </si>
  <si>
    <t>Idade do compactador</t>
  </si>
  <si>
    <t>Depreciação do compactador</t>
  </si>
  <si>
    <t>Depreciação mensal do compactador</t>
  </si>
  <si>
    <t>Custo do compactador</t>
  </si>
  <si>
    <t>Valor do compactador proposto (V0)</t>
  </si>
  <si>
    <t>Investimento médio total do compactador</t>
  </si>
  <si>
    <t>Remuneração mensal de capital do compactador</t>
  </si>
  <si>
    <r>
      <t>Custo do jogo de pneus</t>
    </r>
    <r>
      <rPr>
        <sz val="10"/>
        <color indexed="10"/>
        <rFont val="Arial"/>
        <family val="2"/>
      </rPr>
      <t xml:space="preserve"> 275/80 R22</t>
    </r>
  </si>
  <si>
    <t>Custo jg. compl. + 2 recap./ km rodado</t>
  </si>
  <si>
    <t>7.Destino Final</t>
  </si>
  <si>
    <t>PREÇO TOTAL</t>
  </si>
  <si>
    <t>Ton</t>
  </si>
  <si>
    <t xml:space="preserve">7. Destino Final </t>
  </si>
  <si>
    <t xml:space="preserve">Coleta e transporte até Central de Triagem, Compostagem e Aterro. </t>
  </si>
  <si>
    <t>Custo mensal com Veiculos e Equipamentos (R$/mês)</t>
  </si>
  <si>
    <t>1. Esta planilha é somente um modelo de cálculo expedito e deve ser ajustada conforme cada caso concreto.</t>
  </si>
  <si>
    <t>2. Dimensionar separadamente setores atendidos por veículos de capacidade de carga diferentes.</t>
  </si>
  <si>
    <t>3. Preencher somente células em amarelo</t>
  </si>
  <si>
    <t>7. Dimensionamento da frota</t>
  </si>
  <si>
    <t>Indicador</t>
  </si>
  <si>
    <t>Unid</t>
  </si>
  <si>
    <t>População (H)</t>
  </si>
  <si>
    <t>hab</t>
  </si>
  <si>
    <t>Geração per capita (G)</t>
  </si>
  <si>
    <t>Kg/hab.dia</t>
  </si>
  <si>
    <t>Geração total diária (Qd)</t>
  </si>
  <si>
    <t>ton/dia</t>
  </si>
  <si>
    <t>Geração Mensal</t>
  </si>
  <si>
    <t>ton</t>
  </si>
  <si>
    <t>Número de dias de coleta por semana (Dc)</t>
  </si>
  <si>
    <t>dia</t>
  </si>
  <si>
    <t>Quantitativo diário de coleta (Qc)</t>
  </si>
  <si>
    <t>Densidade RSU compactado</t>
  </si>
  <si>
    <t>Kg/m³</t>
  </si>
  <si>
    <t>Tipo de Veículo (1 = toco, 2 = truck)</t>
  </si>
  <si>
    <t>Capacidade do Compactador</t>
  </si>
  <si>
    <t>m³</t>
  </si>
  <si>
    <t>Capacidade nominal de carga (Cc)</t>
  </si>
  <si>
    <t>Número de Cargas por dia (Nc)</t>
  </si>
  <si>
    <t>Número total de percursos de coleta por veículo, por dia (Np)</t>
  </si>
  <si>
    <t>Número de veículos da Frota (F)</t>
  </si>
  <si>
    <t>Disposição final</t>
  </si>
  <si>
    <t xml:space="preserve">Custo Mensal com Mão-de-obra (R$/mês) </t>
  </si>
  <si>
    <t>Reserva técnica</t>
  </si>
  <si>
    <t>Custo Mensal com Uniformes e EPIs (R$/mês) TOTAL</t>
  </si>
  <si>
    <t>Coletor</t>
  </si>
  <si>
    <t>Motorista</t>
  </si>
  <si>
    <t>1.3. Auxilio Alimentação</t>
  </si>
  <si>
    <t>Ida e Volta</t>
  </si>
  <si>
    <t>Coleta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</si>
</sst>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&quot;R$ &quot;#,##0.00_);\(&quot;R$ &quot;#,##0.00\)"/>
    <numFmt numFmtId="166" formatCode="_(* #,##0.00_);_(* \(#,##0.00\);_(* &quot;-&quot;??_);_(@_)"/>
    <numFmt numFmtId="167" formatCode="_(* #,##0_);_(* \(#,##0\);_(* &quot;-&quot;??_);_(@_)"/>
    <numFmt numFmtId="168" formatCode="_(* #,##0.000_);_(* \(#,##0.000\);_(* &quot;-&quot;??_);_(@_)"/>
    <numFmt numFmtId="169" formatCode="&quot;R$ &quot;#,##0.00"/>
    <numFmt numFmtId="170" formatCode="0.0000"/>
    <numFmt numFmtId="171" formatCode="_-* #,##0.000_-;\-* #,##0.000_-;_-* &quot;-&quot;??_-;_-@_-"/>
    <numFmt numFmtId="172" formatCode="_-* #,##0.00_-;\-* #,##0.00_-;_-* &quot;-&quot;?_-;_-@_-"/>
    <numFmt numFmtId="173" formatCode="_-* #,##0_-;\-* #,##0_-;_-* &quot;-&quot;?_-;_-@_-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vertAlign val="subscript"/>
      <sz val="12"/>
      <color indexed="8"/>
      <name val="Arial"/>
      <family val="2"/>
    </font>
    <font>
      <sz val="12"/>
      <color indexed="8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3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2"/>
      <name val="Courier New"/>
      <family val="3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9" fillId="0" borderId="0" applyFont="0" applyFill="0" applyBorder="0" applyAlignment="0" applyProtection="0"/>
  </cellStyleXfs>
  <cellXfs count="371">
    <xf numFmtId="0" fontId="0" fillId="0" borderId="0" xfId="0"/>
    <xf numFmtId="0" fontId="7" fillId="0" borderId="0" xfId="0" applyFon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6" fontId="7" fillId="0" borderId="0" xfId="3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6" fontId="4" fillId="2" borderId="4" xfId="3" applyFont="1" applyFill="1" applyBorder="1" applyAlignment="1">
      <alignment horizontal="center" vertical="center"/>
    </xf>
    <xf numFmtId="166" fontId="4" fillId="2" borderId="4" xfId="3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66" fontId="4" fillId="0" borderId="6" xfId="3" applyFont="1" applyBorder="1" applyAlignment="1">
      <alignment vertical="center"/>
    </xf>
    <xf numFmtId="166" fontId="4" fillId="0" borderId="7" xfId="3" applyFont="1" applyBorder="1" applyAlignment="1">
      <alignment vertical="center"/>
    </xf>
    <xf numFmtId="166" fontId="4" fillId="0" borderId="0" xfId="3" applyFont="1" applyBorder="1" applyAlignment="1">
      <alignment horizontal="center" vertical="center"/>
    </xf>
    <xf numFmtId="166" fontId="4" fillId="0" borderId="0" xfId="3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6" fontId="4" fillId="0" borderId="0" xfId="3" applyFont="1" applyBorder="1" applyAlignment="1">
      <alignment vertical="center"/>
    </xf>
    <xf numFmtId="166" fontId="6" fillId="0" borderId="0" xfId="3" applyFont="1" applyAlignment="1">
      <alignment vertical="center"/>
    </xf>
    <xf numFmtId="166" fontId="4" fillId="0" borderId="12" xfId="3" applyFont="1" applyBorder="1" applyAlignment="1">
      <alignment horizontal="center" vertical="center"/>
    </xf>
    <xf numFmtId="166" fontId="4" fillId="0" borderId="5" xfId="3" applyFont="1" applyBorder="1" applyAlignment="1">
      <alignment horizontal="left" vertical="center"/>
    </xf>
    <xf numFmtId="4" fontId="4" fillId="0" borderId="6" xfId="0" applyNumberFormat="1" applyFont="1" applyBorder="1" applyAlignment="1">
      <alignment horizontal="centerContinuous" vertical="center"/>
    </xf>
    <xf numFmtId="166" fontId="4" fillId="0" borderId="0" xfId="3" applyFont="1" applyAlignment="1">
      <alignment vertical="center"/>
    </xf>
    <xf numFmtId="166" fontId="4" fillId="0" borderId="13" xfId="3" applyFont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6" fontId="5" fillId="0" borderId="0" xfId="3" applyFont="1" applyBorder="1" applyAlignment="1">
      <alignment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166" fontId="14" fillId="2" borderId="17" xfId="3" applyFont="1" applyFill="1" applyBorder="1" applyAlignment="1">
      <alignment horizontal="center" vertical="center"/>
    </xf>
    <xf numFmtId="166" fontId="14" fillId="2" borderId="18" xfId="3" applyFont="1" applyFill="1" applyBorder="1" applyAlignment="1">
      <alignment horizontal="center" vertical="center"/>
    </xf>
    <xf numFmtId="166" fontId="4" fillId="0" borderId="19" xfId="3" applyFont="1" applyBorder="1" applyAlignment="1">
      <alignment horizontal="center" vertical="center"/>
    </xf>
    <xf numFmtId="166" fontId="2" fillId="0" borderId="14" xfId="3" applyFont="1" applyBorder="1" applyAlignment="1">
      <alignment horizontal="left" vertical="center"/>
    </xf>
    <xf numFmtId="166" fontId="4" fillId="0" borderId="28" xfId="3" applyFont="1" applyBorder="1" applyAlignment="1">
      <alignment vertical="center"/>
    </xf>
    <xf numFmtId="4" fontId="4" fillId="0" borderId="29" xfId="0" applyNumberFormat="1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9" xfId="0" applyBorder="1" applyAlignment="1">
      <alignment vertical="center"/>
    </xf>
    <xf numFmtId="1" fontId="4" fillId="0" borderId="31" xfId="3" applyNumberFormat="1" applyFont="1" applyBorder="1" applyAlignment="1">
      <alignment horizontal="center" vertical="center"/>
    </xf>
    <xf numFmtId="166" fontId="13" fillId="0" borderId="1" xfId="3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66" fontId="4" fillId="2" borderId="4" xfId="3" applyNumberFormat="1" applyFont="1" applyFill="1" applyBorder="1" applyAlignment="1">
      <alignment horizontal="center" vertical="center"/>
    </xf>
    <xf numFmtId="166" fontId="12" fillId="0" borderId="0" xfId="3" applyFont="1" applyAlignment="1">
      <alignment vertical="center"/>
    </xf>
    <xf numFmtId="43" fontId="7" fillId="0" borderId="0" xfId="0" applyNumberFormat="1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66" fontId="4" fillId="0" borderId="1" xfId="3" applyFont="1" applyBorder="1" applyAlignment="1">
      <alignment horizontal="center" vertical="center"/>
    </xf>
    <xf numFmtId="0" fontId="9" fillId="0" borderId="0" xfId="1" applyAlignment="1" applyProtection="1">
      <alignment vertical="center"/>
    </xf>
    <xf numFmtId="0" fontId="4" fillId="0" borderId="0" xfId="0" applyFont="1"/>
    <xf numFmtId="0" fontId="14" fillId="2" borderId="32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166" fontId="14" fillId="2" borderId="33" xfId="3" applyFont="1" applyFill="1" applyBorder="1" applyAlignment="1">
      <alignment horizontal="center" vertical="center"/>
    </xf>
    <xf numFmtId="166" fontId="4" fillId="0" borderId="1" xfId="3" applyFont="1" applyFill="1" applyBorder="1" applyAlignment="1">
      <alignment horizontal="center" vertical="center"/>
    </xf>
    <xf numFmtId="166" fontId="4" fillId="0" borderId="34" xfId="3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166" fontId="4" fillId="0" borderId="0" xfId="3" applyFont="1" applyAlignment="1">
      <alignment horizontal="center" vertical="center"/>
    </xf>
    <xf numFmtId="166" fontId="4" fillId="0" borderId="3" xfId="3" applyFont="1" applyBorder="1" applyAlignment="1">
      <alignment horizontal="center" vertical="center"/>
    </xf>
    <xf numFmtId="0" fontId="0" fillId="0" borderId="0" xfId="0" applyAlignment="1">
      <alignment horizontal="center"/>
    </xf>
    <xf numFmtId="166" fontId="4" fillId="2" borderId="7" xfId="3" applyFont="1" applyFill="1" applyBorder="1" applyAlignment="1">
      <alignment horizontal="center" vertical="center"/>
    </xf>
    <xf numFmtId="166" fontId="4" fillId="0" borderId="14" xfId="3" applyFont="1" applyBorder="1" applyAlignment="1">
      <alignment vertical="center"/>
    </xf>
    <xf numFmtId="166" fontId="4" fillId="0" borderId="9" xfId="0" applyNumberFormat="1" applyFont="1" applyBorder="1" applyAlignment="1">
      <alignment vertical="center"/>
    </xf>
    <xf numFmtId="166" fontId="4" fillId="0" borderId="9" xfId="3" applyFont="1" applyBorder="1" applyAlignment="1">
      <alignment vertical="center"/>
    </xf>
    <xf numFmtId="166" fontId="4" fillId="0" borderId="37" xfId="3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4" fontId="4" fillId="0" borderId="9" xfId="0" applyNumberFormat="1" applyFont="1" applyBorder="1" applyAlignment="1">
      <alignment horizontal="centerContinuous" vertical="center"/>
    </xf>
    <xf numFmtId="0" fontId="2" fillId="0" borderId="0" xfId="0" applyFont="1" applyBorder="1" applyAlignment="1">
      <alignment vertical="center"/>
    </xf>
    <xf numFmtId="4" fontId="7" fillId="0" borderId="0" xfId="0" applyNumberFormat="1" applyFont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18" fillId="0" borderId="0" xfId="0" applyFont="1" applyFill="1" applyAlignment="1">
      <alignment vertical="center"/>
    </xf>
    <xf numFmtId="0" fontId="0" fillId="0" borderId="37" xfId="0" applyFill="1" applyBorder="1" applyAlignment="1">
      <alignment vertical="center"/>
    </xf>
    <xf numFmtId="4" fontId="0" fillId="0" borderId="0" xfId="0" applyNumberFormat="1" applyFill="1" applyBorder="1" applyAlignment="1">
      <alignment vertical="center"/>
    </xf>
    <xf numFmtId="0" fontId="19" fillId="0" borderId="14" xfId="0" applyFont="1" applyBorder="1"/>
    <xf numFmtId="0" fontId="7" fillId="0" borderId="0" xfId="0" applyFont="1" applyBorder="1"/>
    <xf numFmtId="0" fontId="19" fillId="0" borderId="46" xfId="0" applyFont="1" applyBorder="1"/>
    <xf numFmtId="0" fontId="19" fillId="0" borderId="23" xfId="0" applyFont="1" applyBorder="1"/>
    <xf numFmtId="0" fontId="19" fillId="0" borderId="50" xfId="0" applyFont="1" applyBorder="1"/>
    <xf numFmtId="0" fontId="19" fillId="0" borderId="47" xfId="0" applyFont="1" applyBorder="1"/>
    <xf numFmtId="0" fontId="19" fillId="0" borderId="51" xfId="0" applyFont="1" applyBorder="1"/>
    <xf numFmtId="0" fontId="19" fillId="0" borderId="20" xfId="0" applyFont="1" applyBorder="1"/>
    <xf numFmtId="0" fontId="19" fillId="0" borderId="28" xfId="0" applyFont="1" applyBorder="1"/>
    <xf numFmtId="2" fontId="20" fillId="6" borderId="1" xfId="0" applyNumberFormat="1" applyFont="1" applyFill="1" applyBorder="1" applyAlignment="1">
      <alignment horizontal="right"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2" fontId="20" fillId="6" borderId="35" xfId="0" applyNumberFormat="1" applyFont="1" applyFill="1" applyBorder="1" applyAlignment="1">
      <alignment horizontal="right" vertical="center"/>
    </xf>
    <xf numFmtId="0" fontId="20" fillId="0" borderId="23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0" borderId="2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10" fontId="20" fillId="0" borderId="20" xfId="0" applyNumberFormat="1" applyFont="1" applyBorder="1" applyAlignment="1">
      <alignment horizontal="right" vertical="center"/>
    </xf>
    <xf numFmtId="0" fontId="20" fillId="0" borderId="0" xfId="0" applyFont="1" applyFill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10" fontId="24" fillId="0" borderId="20" xfId="0" applyNumberFormat="1" applyFont="1" applyBorder="1" applyAlignment="1">
      <alignment horizontal="right" vertical="center"/>
    </xf>
    <xf numFmtId="0" fontId="20" fillId="4" borderId="23" xfId="0" applyFont="1" applyFill="1" applyBorder="1" applyAlignment="1">
      <alignment horizontal="left" vertical="center"/>
    </xf>
    <xf numFmtId="0" fontId="24" fillId="4" borderId="1" xfId="0" applyFont="1" applyFill="1" applyBorder="1" applyAlignment="1">
      <alignment horizontal="left" vertical="center"/>
    </xf>
    <xf numFmtId="10" fontId="24" fillId="4" borderId="20" xfId="0" applyNumberFormat="1" applyFont="1" applyFill="1" applyBorder="1" applyAlignment="1">
      <alignment horizontal="right" vertical="center"/>
    </xf>
    <xf numFmtId="0" fontId="25" fillId="0" borderId="1" xfId="0" applyFont="1" applyBorder="1" applyAlignment="1">
      <alignment horizontal="left" vertical="center"/>
    </xf>
    <xf numFmtId="0" fontId="26" fillId="0" borderId="0" xfId="0" applyFont="1" applyFill="1" applyBorder="1" applyAlignment="1">
      <alignment horizontal="left" vertical="center"/>
    </xf>
    <xf numFmtId="10" fontId="7" fillId="0" borderId="0" xfId="0" applyNumberFormat="1" applyFont="1"/>
    <xf numFmtId="9" fontId="20" fillId="0" borderId="0" xfId="2" applyFont="1" applyBorder="1" applyAlignment="1">
      <alignment horizontal="right" vertical="center"/>
    </xf>
    <xf numFmtId="10" fontId="7" fillId="0" borderId="0" xfId="0" applyNumberFormat="1" applyFont="1" applyBorder="1"/>
    <xf numFmtId="0" fontId="20" fillId="0" borderId="1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/>
    </xf>
    <xf numFmtId="0" fontId="20" fillId="8" borderId="24" xfId="0" applyFont="1" applyFill="1" applyBorder="1" applyAlignment="1">
      <alignment horizontal="left" vertical="center"/>
    </xf>
    <xf numFmtId="0" fontId="24" fillId="8" borderId="35" xfId="0" applyFont="1" applyFill="1" applyBorder="1" applyAlignment="1">
      <alignment horizontal="left" vertical="center"/>
    </xf>
    <xf numFmtId="10" fontId="24" fillId="8" borderId="36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left" vertical="center"/>
    </xf>
    <xf numFmtId="10" fontId="24" fillId="0" borderId="0" xfId="0" applyNumberFormat="1" applyFont="1" applyFill="1" applyBorder="1" applyAlignment="1">
      <alignment horizontal="right" vertical="center"/>
    </xf>
    <xf numFmtId="10" fontId="20" fillId="0" borderId="0" xfId="0" applyNumberFormat="1" applyFont="1" applyFill="1" applyBorder="1" applyAlignment="1">
      <alignment horizontal="right" vertical="center"/>
    </xf>
    <xf numFmtId="0" fontId="20" fillId="3" borderId="0" xfId="0" applyFont="1" applyFill="1" applyBorder="1" applyAlignment="1">
      <alignment horizontal="left" vertical="center"/>
    </xf>
    <xf numFmtId="10" fontId="20" fillId="0" borderId="0" xfId="0" applyNumberFormat="1" applyFont="1" applyBorder="1" applyAlignment="1">
      <alignment horizontal="right" vertical="center"/>
    </xf>
    <xf numFmtId="0" fontId="24" fillId="0" borderId="0" xfId="0" applyFont="1" applyBorder="1" applyAlignment="1">
      <alignment horizontal="left" vertical="center"/>
    </xf>
    <xf numFmtId="10" fontId="24" fillId="0" borderId="0" xfId="0" applyNumberFormat="1" applyFont="1" applyBorder="1" applyAlignment="1">
      <alignment horizontal="right" vertical="center"/>
    </xf>
    <xf numFmtId="0" fontId="27" fillId="0" borderId="0" xfId="0" applyFont="1" applyBorder="1" applyAlignment="1">
      <alignment horizontal="justify" vertical="center"/>
    </xf>
    <xf numFmtId="0" fontId="9" fillId="0" borderId="0" xfId="1" applyFont="1" applyBorder="1" applyAlignment="1" applyProtection="1">
      <alignment horizontal="left" vertical="center"/>
    </xf>
    <xf numFmtId="0" fontId="28" fillId="0" borderId="0" xfId="0" applyFont="1" applyBorder="1"/>
    <xf numFmtId="0" fontId="20" fillId="0" borderId="0" xfId="0" applyFont="1" applyBorder="1" applyAlignment="1">
      <alignment horizontal="right" vertical="center"/>
    </xf>
    <xf numFmtId="0" fontId="9" fillId="0" borderId="0" xfId="1" applyFont="1" applyBorder="1" applyAlignment="1" applyProtection="1">
      <alignment vertical="center"/>
    </xf>
    <xf numFmtId="0" fontId="6" fillId="0" borderId="15" xfId="0" applyFont="1" applyBorder="1"/>
    <xf numFmtId="0" fontId="6" fillId="0" borderId="23" xfId="0" applyFont="1" applyBorder="1"/>
    <xf numFmtId="0" fontId="6" fillId="0" borderId="46" xfId="0" applyFont="1" applyBorder="1"/>
    <xf numFmtId="0" fontId="6" fillId="0" borderId="48" xfId="0" applyFont="1" applyBorder="1"/>
    <xf numFmtId="0" fontId="6" fillId="0" borderId="37" xfId="0" applyFont="1" applyBorder="1"/>
    <xf numFmtId="0" fontId="6" fillId="0" borderId="38" xfId="0" applyFont="1" applyBorder="1"/>
    <xf numFmtId="0" fontId="8" fillId="0" borderId="47" xfId="0" applyFont="1" applyBorder="1"/>
    <xf numFmtId="9" fontId="8" fillId="0" borderId="47" xfId="0" applyNumberFormat="1" applyFont="1" applyBorder="1"/>
    <xf numFmtId="0" fontId="8" fillId="0" borderId="37" xfId="0" applyFont="1" applyFill="1" applyBorder="1" applyAlignment="1">
      <alignment horizontal="left" vertical="center"/>
    </xf>
    <xf numFmtId="0" fontId="6" fillId="0" borderId="0" xfId="0" applyFont="1" applyBorder="1"/>
    <xf numFmtId="9" fontId="6" fillId="0" borderId="23" xfId="2" applyFont="1" applyBorder="1"/>
    <xf numFmtId="9" fontId="6" fillId="0" borderId="1" xfId="2" applyFont="1" applyBorder="1" applyAlignment="1">
      <alignment horizontal="center"/>
    </xf>
    <xf numFmtId="9" fontId="6" fillId="0" borderId="20" xfId="2" applyFont="1" applyBorder="1"/>
    <xf numFmtId="0" fontId="6" fillId="0" borderId="21" xfId="0" applyFont="1" applyFill="1" applyBorder="1" applyAlignment="1">
      <alignment horizontal="left" vertical="center"/>
    </xf>
    <xf numFmtId="0" fontId="6" fillId="0" borderId="22" xfId="0" applyFont="1" applyFill="1" applyBorder="1" applyAlignment="1">
      <alignment horizontal="center" vertical="center"/>
    </xf>
    <xf numFmtId="10" fontId="6" fillId="0" borderId="20" xfId="2" applyNumberFormat="1" applyFont="1" applyBorder="1"/>
    <xf numFmtId="0" fontId="6" fillId="0" borderId="23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10" fontId="6" fillId="0" borderId="20" xfId="0" applyNumberFormat="1" applyFont="1" applyFill="1" applyBorder="1" applyAlignment="1">
      <alignment horizontal="center" vertical="center"/>
    </xf>
    <xf numFmtId="0" fontId="6" fillId="0" borderId="20" xfId="0" applyFont="1" applyBorder="1"/>
    <xf numFmtId="0" fontId="6" fillId="0" borderId="24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6" fillId="0" borderId="25" xfId="0" applyFont="1" applyFill="1" applyBorder="1" applyAlignment="1">
      <alignment vertical="center"/>
    </xf>
    <xf numFmtId="0" fontId="6" fillId="0" borderId="26" xfId="0" applyFont="1" applyFill="1" applyBorder="1" applyAlignment="1">
      <alignment vertical="center"/>
    </xf>
    <xf numFmtId="10" fontId="6" fillId="0" borderId="27" xfId="0" applyNumberFormat="1" applyFont="1" applyFill="1" applyBorder="1" applyAlignment="1">
      <alignment vertical="center"/>
    </xf>
    <xf numFmtId="0" fontId="6" fillId="0" borderId="28" xfId="0" applyFont="1" applyFill="1" applyBorder="1" applyAlignment="1">
      <alignment horizontal="left" vertical="center"/>
    </xf>
    <xf numFmtId="0" fontId="6" fillId="0" borderId="29" xfId="0" applyFont="1" applyFill="1" applyBorder="1" applyAlignment="1">
      <alignment horizontal="left" vertical="center"/>
    </xf>
    <xf numFmtId="0" fontId="6" fillId="0" borderId="30" xfId="0" applyFont="1" applyFill="1" applyBorder="1" applyAlignment="1">
      <alignment vertical="center"/>
    </xf>
    <xf numFmtId="0" fontId="8" fillId="4" borderId="5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/>
    </xf>
    <xf numFmtId="10" fontId="8" fillId="4" borderId="7" xfId="0" applyNumberFormat="1" applyFont="1" applyFill="1" applyBorder="1" applyAlignment="1">
      <alignment horizontal="center" vertical="center" wrapText="1"/>
    </xf>
    <xf numFmtId="10" fontId="6" fillId="0" borderId="23" xfId="2" applyNumberFormat="1" applyFont="1" applyBorder="1" applyAlignment="1">
      <alignment horizontal="right"/>
    </xf>
    <xf numFmtId="10" fontId="6" fillId="0" borderId="1" xfId="2" applyNumberFormat="1" applyFont="1" applyBorder="1" applyAlignment="1">
      <alignment horizontal="right"/>
    </xf>
    <xf numFmtId="10" fontId="6" fillId="0" borderId="20" xfId="2" applyNumberFormat="1" applyFont="1" applyBorder="1" applyAlignment="1">
      <alignment horizontal="right"/>
    </xf>
    <xf numFmtId="10" fontId="6" fillId="0" borderId="24" xfId="2" applyNumberFormat="1" applyFont="1" applyBorder="1" applyAlignment="1">
      <alignment horizontal="right"/>
    </xf>
    <xf numFmtId="10" fontId="6" fillId="0" borderId="35" xfId="2" applyNumberFormat="1" applyFont="1" applyBorder="1" applyAlignment="1">
      <alignment horizontal="right"/>
    </xf>
    <xf numFmtId="10" fontId="6" fillId="0" borderId="36" xfId="2" applyNumberFormat="1" applyFont="1" applyBorder="1" applyAlignment="1">
      <alignment horizontal="right"/>
    </xf>
    <xf numFmtId="0" fontId="7" fillId="0" borderId="53" xfId="0" applyFont="1" applyBorder="1"/>
    <xf numFmtId="0" fontId="21" fillId="0" borderId="53" xfId="0" applyFont="1" applyBorder="1" applyAlignment="1">
      <alignment horizontal="justify"/>
    </xf>
    <xf numFmtId="0" fontId="21" fillId="0" borderId="54" xfId="0" applyFont="1" applyBorder="1" applyAlignment="1">
      <alignment horizontal="justify"/>
    </xf>
    <xf numFmtId="0" fontId="18" fillId="9" borderId="52" xfId="0" applyFont="1" applyFill="1" applyBorder="1" applyAlignment="1">
      <alignment horizontal="center"/>
    </xf>
    <xf numFmtId="166" fontId="4" fillId="0" borderId="7" xfId="3" applyFont="1" applyBorder="1" applyAlignment="1">
      <alignment horizontal="right" vertical="center"/>
    </xf>
    <xf numFmtId="166" fontId="4" fillId="2" borderId="4" xfId="3" applyFont="1" applyFill="1" applyBorder="1" applyAlignment="1">
      <alignment horizontal="right" vertical="center"/>
    </xf>
    <xf numFmtId="166" fontId="4" fillId="0" borderId="11" xfId="3" applyFont="1" applyBorder="1" applyAlignment="1">
      <alignment vertical="center"/>
    </xf>
    <xf numFmtId="166" fontId="4" fillId="0" borderId="5" xfId="3" applyFont="1" applyBorder="1" applyAlignment="1">
      <alignment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 wrapText="1"/>
    </xf>
    <xf numFmtId="167" fontId="4" fillId="0" borderId="1" xfId="3" applyNumberFormat="1" applyFont="1" applyBorder="1" applyAlignment="1">
      <alignment horizontal="center" vertical="center"/>
    </xf>
    <xf numFmtId="168" fontId="4" fillId="0" borderId="1" xfId="3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/>
    <xf numFmtId="170" fontId="19" fillId="0" borderId="47" xfId="0" applyNumberFormat="1" applyFont="1" applyBorder="1"/>
    <xf numFmtId="170" fontId="8" fillId="0" borderId="47" xfId="0" applyNumberFormat="1" applyFont="1" applyBorder="1"/>
    <xf numFmtId="170" fontId="8" fillId="0" borderId="31" xfId="0" applyNumberFormat="1" applyFont="1" applyBorder="1"/>
    <xf numFmtId="0" fontId="4" fillId="0" borderId="55" xfId="0" applyFont="1" applyBorder="1" applyAlignment="1">
      <alignment vertical="center"/>
    </xf>
    <xf numFmtId="0" fontId="4" fillId="0" borderId="55" xfId="0" applyFont="1" applyBorder="1" applyAlignment="1">
      <alignment horizontal="center" vertical="center"/>
    </xf>
    <xf numFmtId="166" fontId="4" fillId="0" borderId="55" xfId="3" applyFont="1" applyBorder="1" applyAlignment="1">
      <alignment horizontal="center" vertical="center"/>
    </xf>
    <xf numFmtId="166" fontId="4" fillId="0" borderId="55" xfId="3" applyFont="1" applyFill="1" applyBorder="1" applyAlignment="1">
      <alignment horizontal="center" vertical="center"/>
    </xf>
    <xf numFmtId="0" fontId="6" fillId="0" borderId="23" xfId="0" applyFont="1" applyBorder="1" applyAlignment="1">
      <alignment horizontal="right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66" fontId="2" fillId="0" borderId="0" xfId="3" applyFont="1" applyAlignment="1">
      <alignment vertical="center"/>
    </xf>
    <xf numFmtId="164" fontId="7" fillId="0" borderId="0" xfId="4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Continuous" vertical="center"/>
    </xf>
    <xf numFmtId="0" fontId="4" fillId="0" borderId="9" xfId="0" applyFont="1" applyFill="1" applyBorder="1" applyAlignment="1">
      <alignment horizontal="center" vertical="center"/>
    </xf>
    <xf numFmtId="0" fontId="26" fillId="3" borderId="0" xfId="0" applyFont="1" applyFill="1" applyBorder="1" applyAlignment="1" applyProtection="1">
      <alignment horizontal="left" vertical="center"/>
      <protection locked="0"/>
    </xf>
    <xf numFmtId="0" fontId="19" fillId="10" borderId="20" xfId="0" applyFont="1" applyFill="1" applyBorder="1" applyProtection="1">
      <protection locked="0"/>
    </xf>
    <xf numFmtId="0" fontId="6" fillId="10" borderId="20" xfId="0" applyFont="1" applyFill="1" applyBorder="1" applyProtection="1">
      <protection locked="0"/>
    </xf>
    <xf numFmtId="0" fontId="6" fillId="10" borderId="47" xfId="0" applyFont="1" applyFill="1" applyBorder="1" applyProtection="1">
      <protection locked="0"/>
    </xf>
    <xf numFmtId="0" fontId="6" fillId="10" borderId="49" xfId="0" applyFont="1" applyFill="1" applyBorder="1" applyProtection="1">
      <protection locked="0"/>
    </xf>
    <xf numFmtId="10" fontId="6" fillId="10" borderId="12" xfId="0" applyNumberFormat="1" applyFont="1" applyFill="1" applyBorder="1" applyAlignment="1" applyProtection="1">
      <alignment horizontal="center" vertical="center"/>
      <protection locked="0"/>
    </xf>
    <xf numFmtId="10" fontId="6" fillId="10" borderId="20" xfId="0" applyNumberFormat="1" applyFont="1" applyFill="1" applyBorder="1" applyAlignment="1" applyProtection="1">
      <alignment horizontal="center" vertical="center"/>
      <protection locked="0"/>
    </xf>
    <xf numFmtId="10" fontId="6" fillId="10" borderId="36" xfId="0" applyNumberFormat="1" applyFont="1" applyFill="1" applyBorder="1" applyAlignment="1" applyProtection="1">
      <alignment horizontal="center" vertical="center"/>
      <protection locked="0"/>
    </xf>
    <xf numFmtId="0" fontId="6" fillId="10" borderId="1" xfId="0" applyFont="1" applyFill="1" applyBorder="1" applyAlignment="1" applyProtection="1">
      <alignment horizontal="center"/>
      <protection locked="0"/>
    </xf>
    <xf numFmtId="10" fontId="6" fillId="10" borderId="1" xfId="2" applyNumberFormat="1" applyFont="1" applyFill="1" applyBorder="1" applyAlignment="1" applyProtection="1">
      <alignment horizontal="center"/>
      <protection locked="0"/>
    </xf>
    <xf numFmtId="2" fontId="20" fillId="6" borderId="1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Protection="1">
      <protection locked="0"/>
    </xf>
    <xf numFmtId="166" fontId="13" fillId="3" borderId="1" xfId="3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166" fontId="1" fillId="0" borderId="0" xfId="3" applyFont="1" applyAlignment="1">
      <alignment vertical="center"/>
    </xf>
    <xf numFmtId="166" fontId="1" fillId="0" borderId="0" xfId="3" applyFont="1" applyFill="1" applyBorder="1" applyAlignment="1">
      <alignment vertical="center"/>
    </xf>
    <xf numFmtId="166" fontId="1" fillId="0" borderId="38" xfId="3" applyFont="1" applyFill="1" applyBorder="1" applyAlignment="1">
      <alignment vertical="center"/>
    </xf>
    <xf numFmtId="166" fontId="1" fillId="0" borderId="11" xfId="3" applyFont="1" applyBorder="1" applyAlignment="1">
      <alignment vertical="center"/>
    </xf>
    <xf numFmtId="166" fontId="2" fillId="0" borderId="19" xfId="3" applyFont="1" applyBorder="1" applyAlignment="1">
      <alignment vertical="center"/>
    </xf>
    <xf numFmtId="166" fontId="2" fillId="0" borderId="11" xfId="3" applyFont="1" applyBorder="1" applyAlignment="1">
      <alignment vertical="center"/>
    </xf>
    <xf numFmtId="1" fontId="2" fillId="0" borderId="12" xfId="3" applyNumberFormat="1" applyFont="1" applyBorder="1" applyAlignment="1">
      <alignment horizontal="center" vertical="center"/>
    </xf>
    <xf numFmtId="166" fontId="2" fillId="0" borderId="14" xfId="3" applyFont="1" applyBorder="1" applyAlignment="1">
      <alignment vertical="center"/>
    </xf>
    <xf numFmtId="166" fontId="2" fillId="0" borderId="9" xfId="3" applyFont="1" applyBorder="1" applyAlignment="1">
      <alignment vertical="center"/>
    </xf>
    <xf numFmtId="1" fontId="2" fillId="0" borderId="20" xfId="3" applyNumberFormat="1" applyFont="1" applyBorder="1" applyAlignment="1">
      <alignment horizontal="center" vertical="center"/>
    </xf>
    <xf numFmtId="166" fontId="2" fillId="0" borderId="0" xfId="3" applyFont="1" applyBorder="1" applyAlignment="1">
      <alignment vertical="center"/>
    </xf>
    <xf numFmtId="166" fontId="2" fillId="0" borderId="38" xfId="3" applyFont="1" applyBorder="1" applyAlignment="1">
      <alignment vertical="center"/>
    </xf>
    <xf numFmtId="166" fontId="2" fillId="0" borderId="39" xfId="3" applyFont="1" applyBorder="1" applyAlignment="1">
      <alignment vertical="center"/>
    </xf>
    <xf numFmtId="166" fontId="2" fillId="0" borderId="40" xfId="3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1" fontId="2" fillId="0" borderId="36" xfId="3" applyNumberFormat="1" applyFont="1" applyBorder="1" applyAlignment="1">
      <alignment horizontal="center" vertical="center"/>
    </xf>
    <xf numFmtId="2" fontId="2" fillId="11" borderId="18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66" fontId="2" fillId="11" borderId="2" xfId="3" applyFont="1" applyFill="1" applyBorder="1" applyAlignment="1">
      <alignment horizontal="center" vertical="center"/>
    </xf>
    <xf numFmtId="166" fontId="2" fillId="0" borderId="2" xfId="3" applyFont="1" applyBorder="1" applyAlignment="1">
      <alignment horizontal="center" vertical="center"/>
    </xf>
    <xf numFmtId="166" fontId="2" fillId="0" borderId="1" xfId="3" applyFont="1" applyFill="1" applyBorder="1" applyAlignment="1">
      <alignment horizontal="center" vertical="center"/>
    </xf>
    <xf numFmtId="166" fontId="2" fillId="0" borderId="1" xfId="3" applyFont="1" applyBorder="1" applyAlignment="1">
      <alignment horizontal="center" vertical="center"/>
    </xf>
    <xf numFmtId="166" fontId="2" fillId="5" borderId="1" xfId="3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6" fontId="2" fillId="0" borderId="0" xfId="3" applyFont="1" applyAlignment="1">
      <alignment horizontal="right" vertical="center"/>
    </xf>
    <xf numFmtId="166" fontId="2" fillId="0" borderId="1" xfId="3" applyFont="1" applyBorder="1" applyAlignment="1">
      <alignment vertical="center"/>
    </xf>
    <xf numFmtId="166" fontId="2" fillId="0" borderId="2" xfId="3" applyFont="1" applyFill="1" applyBorder="1" applyAlignment="1">
      <alignment horizontal="center" vertical="center"/>
    </xf>
    <xf numFmtId="166" fontId="4" fillId="0" borderId="0" xfId="3" applyFont="1" applyFill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166" fontId="14" fillId="0" borderId="17" xfId="3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66" fontId="4" fillId="0" borderId="9" xfId="3" applyFont="1" applyFill="1" applyBorder="1" applyAlignment="1">
      <alignment horizontal="center" vertical="center"/>
    </xf>
    <xf numFmtId="167" fontId="2" fillId="0" borderId="1" xfId="3" applyNumberFormat="1" applyFont="1" applyBorder="1" applyAlignment="1">
      <alignment horizontal="center" vertical="center"/>
    </xf>
    <xf numFmtId="166" fontId="2" fillId="0" borderId="0" xfId="3" applyFont="1" applyFill="1" applyAlignment="1">
      <alignment vertical="center"/>
    </xf>
    <xf numFmtId="0" fontId="2" fillId="0" borderId="1" xfId="0" applyFont="1" applyBorder="1" applyAlignment="1">
      <alignment horizontal="center"/>
    </xf>
    <xf numFmtId="166" fontId="2" fillId="0" borderId="0" xfId="3" applyFont="1"/>
    <xf numFmtId="1" fontId="2" fillId="0" borderId="1" xfId="0" applyNumberFormat="1" applyFont="1" applyBorder="1" applyAlignment="1">
      <alignment horizontal="center" vertical="center"/>
    </xf>
    <xf numFmtId="166" fontId="2" fillId="11" borderId="1" xfId="3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166" fontId="2" fillId="0" borderId="6" xfId="3" applyFont="1" applyBorder="1" applyAlignment="1">
      <alignment vertical="center"/>
    </xf>
    <xf numFmtId="166" fontId="2" fillId="0" borderId="7" xfId="3" applyFont="1" applyBorder="1" applyAlignment="1">
      <alignment vertical="center"/>
    </xf>
    <xf numFmtId="166" fontId="2" fillId="0" borderId="0" xfId="3" applyFont="1" applyAlignment="1">
      <alignment horizontal="center" vertical="center"/>
    </xf>
    <xf numFmtId="166" fontId="2" fillId="0" borderId="1" xfId="3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3" borderId="1" xfId="0" applyNumberFormat="1" applyFont="1" applyFill="1" applyBorder="1" applyAlignment="1">
      <alignment vertical="center"/>
    </xf>
    <xf numFmtId="4" fontId="2" fillId="3" borderId="2" xfId="0" applyNumberFormat="1" applyFont="1" applyFill="1" applyBorder="1" applyAlignment="1">
      <alignment horizontal="center" vertical="center"/>
    </xf>
    <xf numFmtId="168" fontId="2" fillId="11" borderId="2" xfId="3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167" fontId="2" fillId="3" borderId="1" xfId="3" applyNumberFormat="1" applyFont="1" applyFill="1" applyBorder="1" applyAlignment="1">
      <alignment horizontal="center" vertical="center"/>
    </xf>
    <xf numFmtId="168" fontId="2" fillId="11" borderId="1" xfId="3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13" fontId="2" fillId="3" borderId="1" xfId="0" applyNumberFormat="1" applyFont="1" applyFill="1" applyBorder="1" applyAlignment="1">
      <alignment horizontal="center" vertical="center"/>
    </xf>
    <xf numFmtId="166" fontId="2" fillId="3" borderId="2" xfId="3" applyFont="1" applyFill="1" applyBorder="1" applyAlignment="1">
      <alignment horizontal="center" vertical="center"/>
    </xf>
    <xf numFmtId="166" fontId="2" fillId="0" borderId="0" xfId="3" applyFont="1" applyFill="1" applyBorder="1" applyAlignment="1">
      <alignment horizontal="center" vertical="center"/>
    </xf>
    <xf numFmtId="166" fontId="2" fillId="3" borderId="1" xfId="3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166" fontId="2" fillId="3" borderId="9" xfId="3" applyNumberFormat="1" applyFont="1" applyFill="1" applyBorder="1" applyAlignment="1">
      <alignment vertical="center"/>
    </xf>
    <xf numFmtId="166" fontId="2" fillId="0" borderId="10" xfId="3" applyFont="1" applyBorder="1" applyAlignment="1">
      <alignment vertical="center"/>
    </xf>
    <xf numFmtId="166" fontId="2" fillId="3" borderId="0" xfId="3" applyNumberFormat="1" applyFont="1" applyFill="1" applyBorder="1" applyAlignment="1">
      <alignment vertical="center"/>
    </xf>
    <xf numFmtId="13" fontId="2" fillId="3" borderId="1" xfId="0" applyNumberFormat="1" applyFont="1" applyFill="1" applyBorder="1" applyAlignment="1">
      <alignment vertical="center"/>
    </xf>
    <xf numFmtId="166" fontId="4" fillId="0" borderId="37" xfId="3" applyFont="1" applyBorder="1" applyAlignment="1">
      <alignment horizontal="left" vertical="center"/>
    </xf>
    <xf numFmtId="166" fontId="4" fillId="0" borderId="14" xfId="3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167" fontId="2" fillId="0" borderId="0" xfId="3" applyNumberFormat="1" applyFont="1" applyBorder="1" applyAlignment="1">
      <alignment horizontal="center" vertical="center"/>
    </xf>
    <xf numFmtId="166" fontId="2" fillId="11" borderId="0" xfId="3" applyFont="1" applyFill="1" applyBorder="1" applyAlignment="1">
      <alignment horizontal="center" vertical="center"/>
    </xf>
    <xf numFmtId="166" fontId="2" fillId="0" borderId="0" xfId="3" applyFont="1" applyBorder="1" applyAlignment="1">
      <alignment horizontal="center" vertical="center"/>
    </xf>
    <xf numFmtId="4" fontId="2" fillId="0" borderId="0" xfId="0" applyNumberFormat="1" applyFont="1" applyBorder="1" applyAlignment="1">
      <alignment vertical="center"/>
    </xf>
    <xf numFmtId="0" fontId="18" fillId="0" borderId="23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8" fillId="0" borderId="20" xfId="0" applyFont="1" applyFill="1" applyBorder="1" applyAlignment="1">
      <alignment horizontal="center"/>
    </xf>
    <xf numFmtId="0" fontId="2" fillId="0" borderId="0" xfId="0" applyFont="1" applyFill="1"/>
    <xf numFmtId="0" fontId="8" fillId="0" borderId="23" xfId="0" applyFont="1" applyBorder="1"/>
    <xf numFmtId="0" fontId="8" fillId="0" borderId="1" xfId="0" applyFont="1" applyBorder="1"/>
    <xf numFmtId="0" fontId="8" fillId="0" borderId="20" xfId="0" applyFont="1" applyBorder="1"/>
    <xf numFmtId="0" fontId="6" fillId="0" borderId="23" xfId="0" applyFont="1" applyFill="1" applyBorder="1"/>
    <xf numFmtId="0" fontId="6" fillId="0" borderId="1" xfId="0" applyFont="1" applyFill="1" applyBorder="1"/>
    <xf numFmtId="0" fontId="6" fillId="12" borderId="20" xfId="0" applyFont="1" applyFill="1" applyBorder="1"/>
    <xf numFmtId="0" fontId="6" fillId="0" borderId="1" xfId="0" applyFont="1" applyBorder="1"/>
    <xf numFmtId="171" fontId="25" fillId="0" borderId="20" xfId="3" applyNumberFormat="1" applyFont="1" applyBorder="1" applyAlignment="1">
      <alignment horizontal="center" vertical="center" wrapText="1"/>
    </xf>
    <xf numFmtId="172" fontId="6" fillId="0" borderId="20" xfId="0" applyNumberFormat="1" applyFont="1" applyBorder="1"/>
    <xf numFmtId="2" fontId="6" fillId="0" borderId="20" xfId="0" applyNumberFormat="1" applyFont="1" applyBorder="1"/>
    <xf numFmtId="172" fontId="6" fillId="12" borderId="20" xfId="0" applyNumberFormat="1" applyFont="1" applyFill="1" applyBorder="1"/>
    <xf numFmtId="173" fontId="6" fillId="12" borderId="20" xfId="0" applyNumberFormat="1" applyFont="1" applyFill="1" applyBorder="1"/>
    <xf numFmtId="0" fontId="6" fillId="0" borderId="24" xfId="0" applyFont="1" applyFill="1" applyBorder="1"/>
    <xf numFmtId="0" fontId="6" fillId="0" borderId="35" xfId="0" applyFont="1" applyBorder="1"/>
    <xf numFmtId="172" fontId="6" fillId="0" borderId="36" xfId="0" applyNumberFormat="1" applyFont="1" applyBorder="1"/>
    <xf numFmtId="169" fontId="4" fillId="0" borderId="1" xfId="0" applyNumberFormat="1" applyFont="1" applyBorder="1" applyAlignment="1">
      <alignment horizontal="center" vertical="center"/>
    </xf>
    <xf numFmtId="10" fontId="4" fillId="0" borderId="15" xfId="2" applyNumberFormat="1" applyFont="1" applyBorder="1" applyAlignment="1">
      <alignment horizontal="center" vertical="center"/>
    </xf>
    <xf numFmtId="10" fontId="2" fillId="0" borderId="15" xfId="2" applyNumberFormat="1" applyFont="1" applyBorder="1" applyAlignment="1">
      <alignment horizontal="center" vertical="center"/>
    </xf>
    <xf numFmtId="10" fontId="4" fillId="0" borderId="1" xfId="2" applyNumberFormat="1" applyFont="1" applyBorder="1" applyAlignment="1">
      <alignment horizontal="center" vertical="center"/>
    </xf>
    <xf numFmtId="169" fontId="4" fillId="0" borderId="3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9" fontId="4" fillId="0" borderId="18" xfId="2" applyFont="1" applyBorder="1" applyAlignment="1">
      <alignment horizontal="center" vertical="center"/>
    </xf>
    <xf numFmtId="166" fontId="2" fillId="0" borderId="9" xfId="0" applyNumberFormat="1" applyFont="1" applyBorder="1" applyAlignment="1">
      <alignment vertical="center"/>
    </xf>
    <xf numFmtId="169" fontId="2" fillId="0" borderId="1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Continuous" vertical="center"/>
    </xf>
    <xf numFmtId="166" fontId="28" fillId="0" borderId="14" xfId="3" applyFont="1" applyBorder="1" applyAlignment="1">
      <alignment vertical="center"/>
    </xf>
    <xf numFmtId="166" fontId="28" fillId="0" borderId="9" xfId="3" applyFont="1" applyBorder="1" applyAlignment="1">
      <alignment vertical="center"/>
    </xf>
    <xf numFmtId="10" fontId="28" fillId="0" borderId="15" xfId="2" applyNumberFormat="1" applyFont="1" applyBorder="1" applyAlignment="1">
      <alignment horizontal="center" vertical="center"/>
    </xf>
    <xf numFmtId="166" fontId="4" fillId="2" borderId="0" xfId="3" applyFont="1" applyFill="1" applyBorder="1" applyAlignment="1">
      <alignment horizontal="center" vertical="center"/>
    </xf>
    <xf numFmtId="166" fontId="4" fillId="2" borderId="1" xfId="3" applyFont="1" applyFill="1" applyBorder="1" applyAlignment="1">
      <alignment horizontal="center" vertical="center"/>
    </xf>
    <xf numFmtId="3" fontId="2" fillId="0" borderId="1" xfId="3" applyNumberFormat="1" applyFont="1" applyBorder="1" applyAlignment="1">
      <alignment horizontal="center" vertical="center"/>
    </xf>
    <xf numFmtId="3" fontId="2" fillId="0" borderId="0" xfId="3" applyNumberFormat="1" applyFont="1" applyBorder="1" applyAlignment="1">
      <alignment horizontal="center" vertical="center"/>
    </xf>
    <xf numFmtId="166" fontId="4" fillId="2" borderId="0" xfId="3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3" fontId="2" fillId="0" borderId="3" xfId="3" applyNumberFormat="1" applyFont="1" applyBorder="1" applyAlignment="1">
      <alignment horizontal="center" vertical="center"/>
    </xf>
    <xf numFmtId="166" fontId="4" fillId="2" borderId="3" xfId="3" applyFont="1" applyFill="1" applyBorder="1" applyAlignment="1">
      <alignment horizontal="center" vertical="center"/>
    </xf>
    <xf numFmtId="3" fontId="2" fillId="0" borderId="6" xfId="3" applyNumberFormat="1" applyFont="1" applyBorder="1" applyAlignment="1">
      <alignment horizontal="center" vertical="center"/>
    </xf>
    <xf numFmtId="166" fontId="2" fillId="0" borderId="3" xfId="3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66" fontId="4" fillId="2" borderId="7" xfId="3" applyFont="1" applyFill="1" applyBorder="1" applyAlignment="1">
      <alignment vertical="center"/>
    </xf>
    <xf numFmtId="166" fontId="2" fillId="0" borderId="9" xfId="3" applyFont="1" applyBorder="1" applyAlignment="1">
      <alignment horizontal="left" vertical="center"/>
    </xf>
    <xf numFmtId="167" fontId="2" fillId="0" borderId="0" xfId="3" applyNumberFormat="1" applyFont="1" applyAlignment="1">
      <alignment vertical="center"/>
    </xf>
    <xf numFmtId="166" fontId="2" fillId="0" borderId="0" xfId="3" applyFont="1" applyAlignment="1">
      <alignment horizontal="right" vertical="center"/>
    </xf>
    <xf numFmtId="0" fontId="2" fillId="0" borderId="4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166" fontId="4" fillId="0" borderId="14" xfId="3" applyFont="1" applyBorder="1" applyAlignment="1">
      <alignment horizontal="left" vertical="center"/>
    </xf>
    <xf numFmtId="166" fontId="4" fillId="0" borderId="9" xfId="3" applyFont="1" applyBorder="1" applyAlignment="1">
      <alignment horizontal="left" vertical="center"/>
    </xf>
    <xf numFmtId="0" fontId="18" fillId="7" borderId="25" xfId="0" applyFont="1" applyFill="1" applyBorder="1" applyAlignment="1">
      <alignment horizontal="center" vertical="center"/>
    </xf>
    <xf numFmtId="0" fontId="18" fillId="7" borderId="26" xfId="0" applyFont="1" applyFill="1" applyBorder="1" applyAlignment="1">
      <alignment horizontal="center" vertical="center"/>
    </xf>
    <xf numFmtId="0" fontId="18" fillId="7" borderId="27" xfId="0" applyFont="1" applyFill="1" applyBorder="1" applyAlignment="1">
      <alignment horizontal="center" vertical="center"/>
    </xf>
    <xf numFmtId="0" fontId="8" fillId="7" borderId="43" xfId="0" applyFont="1" applyFill="1" applyBorder="1" applyAlignment="1">
      <alignment horizontal="center" vertical="center"/>
    </xf>
    <xf numFmtId="0" fontId="8" fillId="7" borderId="41" xfId="0" applyFont="1" applyFill="1" applyBorder="1" applyAlignment="1">
      <alignment horizontal="center" vertical="center"/>
    </xf>
    <xf numFmtId="0" fontId="8" fillId="7" borderId="44" xfId="0" applyFont="1" applyFill="1" applyBorder="1" applyAlignment="1">
      <alignment horizontal="center" vertical="center"/>
    </xf>
    <xf numFmtId="166" fontId="5" fillId="7" borderId="5" xfId="3" applyFont="1" applyFill="1" applyBorder="1" applyAlignment="1">
      <alignment horizontal="center" vertical="center"/>
    </xf>
    <xf numFmtId="166" fontId="5" fillId="7" borderId="6" xfId="3" applyFont="1" applyFill="1" applyBorder="1" applyAlignment="1">
      <alignment horizontal="center" vertical="center"/>
    </xf>
    <xf numFmtId="166" fontId="5" fillId="7" borderId="7" xfId="3" applyFont="1" applyFill="1" applyBorder="1" applyAlignment="1">
      <alignment horizontal="center" vertical="center"/>
    </xf>
    <xf numFmtId="166" fontId="4" fillId="0" borderId="5" xfId="3" applyFont="1" applyBorder="1" applyAlignment="1">
      <alignment horizontal="center" vertical="center"/>
    </xf>
    <xf numFmtId="166" fontId="4" fillId="0" borderId="6" xfId="3" applyFont="1" applyBorder="1" applyAlignment="1">
      <alignment horizontal="center" vertical="center"/>
    </xf>
    <xf numFmtId="166" fontId="4" fillId="0" borderId="42" xfId="3" applyFont="1" applyBorder="1" applyAlignment="1">
      <alignment horizontal="center" vertical="center"/>
    </xf>
    <xf numFmtId="166" fontId="2" fillId="0" borderId="56" xfId="3" applyFont="1" applyBorder="1" applyAlignment="1">
      <alignment horizontal="center" vertical="center"/>
    </xf>
    <xf numFmtId="166" fontId="2" fillId="0" borderId="57" xfId="3" applyFont="1" applyBorder="1" applyAlignment="1">
      <alignment horizontal="center" vertical="center"/>
    </xf>
    <xf numFmtId="0" fontId="18" fillId="7" borderId="21" xfId="0" applyFont="1" applyFill="1" applyBorder="1" applyAlignment="1">
      <alignment horizontal="center" vertical="center"/>
    </xf>
    <xf numFmtId="0" fontId="18" fillId="7" borderId="22" xfId="0" applyFont="1" applyFill="1" applyBorder="1" applyAlignment="1">
      <alignment horizontal="center" vertical="center"/>
    </xf>
    <xf numFmtId="0" fontId="18" fillId="7" borderId="12" xfId="0" applyFont="1" applyFill="1" applyBorder="1" applyAlignment="1">
      <alignment horizontal="center" vertical="center"/>
    </xf>
    <xf numFmtId="0" fontId="18" fillId="9" borderId="19" xfId="0" applyFont="1" applyFill="1" applyBorder="1" applyAlignment="1">
      <alignment horizontal="center"/>
    </xf>
    <xf numFmtId="0" fontId="18" fillId="9" borderId="45" xfId="0" applyFont="1" applyFill="1" applyBorder="1" applyAlignment="1">
      <alignment horizontal="center"/>
    </xf>
    <xf numFmtId="0" fontId="7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6" fillId="0" borderId="1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9" fontId="8" fillId="0" borderId="21" xfId="2" applyFont="1" applyBorder="1" applyAlignment="1">
      <alignment horizontal="center"/>
    </xf>
    <xf numFmtId="9" fontId="8" fillId="0" borderId="22" xfId="2" applyFont="1" applyBorder="1" applyAlignment="1">
      <alignment horizontal="center"/>
    </xf>
    <xf numFmtId="9" fontId="8" fillId="0" borderId="12" xfId="2" applyFont="1" applyBorder="1" applyAlignment="1">
      <alignment horizontal="center"/>
    </xf>
    <xf numFmtId="0" fontId="5" fillId="9" borderId="25" xfId="0" applyFont="1" applyFill="1" applyBorder="1" applyAlignment="1">
      <alignment horizontal="center" vertical="center"/>
    </xf>
    <xf numFmtId="0" fontId="5" fillId="9" borderId="26" xfId="0" applyFont="1" applyFill="1" applyBorder="1" applyAlignment="1">
      <alignment horizontal="center" vertical="center"/>
    </xf>
    <xf numFmtId="0" fontId="5" fillId="9" borderId="27" xfId="0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/>
    </xf>
    <xf numFmtId="0" fontId="5" fillId="9" borderId="6" xfId="0" applyFont="1" applyFill="1" applyBorder="1" applyAlignment="1">
      <alignment horizontal="center" vertical="center"/>
    </xf>
    <xf numFmtId="0" fontId="18" fillId="9" borderId="21" xfId="0" applyFont="1" applyFill="1" applyBorder="1" applyAlignment="1">
      <alignment horizontal="center"/>
    </xf>
    <xf numFmtId="0" fontId="18" fillId="9" borderId="22" xfId="0" applyFont="1" applyFill="1" applyBorder="1" applyAlignment="1">
      <alignment horizontal="center"/>
    </xf>
    <xf numFmtId="0" fontId="18" fillId="9" borderId="12" xfId="0" applyFont="1" applyFill="1" applyBorder="1" applyAlignment="1">
      <alignment horizontal="center"/>
    </xf>
  </cellXfs>
  <cellStyles count="5">
    <cellStyle name="Hiperlink" xfId="1" builtinId="8"/>
    <cellStyle name="Moeda" xfId="4" builtinId="4"/>
    <cellStyle name="Normal" xfId="0" builtinId="0"/>
    <cellStyle name="Porcentagem" xfId="2" builtinId="5"/>
    <cellStyle name="Vírgula" xfId="3" builtinId="3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4</xdr:row>
      <xdr:rowOff>28575</xdr:rowOff>
    </xdr:from>
    <xdr:to>
      <xdr:col>0</xdr:col>
      <xdr:colOff>1419225</xdr:colOff>
      <xdr:row>6</xdr:row>
      <xdr:rowOff>66675</xdr:rowOff>
    </xdr:to>
    <xdr:pic>
      <xdr:nvPicPr>
        <xdr:cNvPr id="6506" name="Picture 2">
          <a:extLst>
            <a:ext uri="{FF2B5EF4-FFF2-40B4-BE49-F238E27FC236}">
              <a16:creationId xmlns="" xmlns:a16="http://schemas.microsoft.com/office/drawing/2014/main" id="{00000000-0008-0000-0500-00006A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19100"/>
          <a:ext cx="12858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7</xdr:row>
      <xdr:rowOff>9525</xdr:rowOff>
    </xdr:from>
    <xdr:to>
      <xdr:col>0</xdr:col>
      <xdr:colOff>2124075</xdr:colOff>
      <xdr:row>9</xdr:row>
      <xdr:rowOff>57150</xdr:rowOff>
    </xdr:to>
    <xdr:pic>
      <xdr:nvPicPr>
        <xdr:cNvPr id="6507" name="Picture 1">
          <a:extLst>
            <a:ext uri="{FF2B5EF4-FFF2-40B4-BE49-F238E27FC236}">
              <a16:creationId xmlns="" xmlns:a16="http://schemas.microsoft.com/office/drawing/2014/main" id="{00000000-0008-0000-0500-00006B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85825"/>
          <a:ext cx="20383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omada%20de%20Pre&#231;os%20-%2007%20-%20Lixo\Lixo%202018%20(Salvo%20automaticament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oleta Domiciliar"/>
      <sheetName val="2.Encargos Sociais"/>
      <sheetName val="3.CAGED"/>
      <sheetName val="4.BDI"/>
      <sheetName val="5. Depreciação"/>
      <sheetName val="6.Remuneração de capital"/>
      <sheetName val="7. Dimensionamento"/>
      <sheetName val="Planilh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A3">
            <v>1</v>
          </cell>
          <cell r="B3">
            <v>33.629999999999995</v>
          </cell>
        </row>
        <row r="4">
          <cell r="A4">
            <v>2</v>
          </cell>
          <cell r="B4">
            <v>43.13</v>
          </cell>
        </row>
        <row r="5">
          <cell r="A5">
            <v>3</v>
          </cell>
          <cell r="B5">
            <v>48.68</v>
          </cell>
        </row>
        <row r="6">
          <cell r="A6">
            <v>4</v>
          </cell>
          <cell r="B6">
            <v>52.62</v>
          </cell>
        </row>
        <row r="7">
          <cell r="A7">
            <v>5</v>
          </cell>
          <cell r="B7">
            <v>55.679999999999993</v>
          </cell>
        </row>
        <row r="8">
          <cell r="A8">
            <v>6</v>
          </cell>
          <cell r="B8">
            <v>58.18</v>
          </cell>
        </row>
        <row r="9">
          <cell r="A9">
            <v>7</v>
          </cell>
          <cell r="B9">
            <v>60.29</v>
          </cell>
        </row>
        <row r="10">
          <cell r="A10">
            <v>8</v>
          </cell>
          <cell r="B10">
            <v>62.12</v>
          </cell>
        </row>
        <row r="11">
          <cell r="A11">
            <v>9</v>
          </cell>
          <cell r="B11">
            <v>63.73</v>
          </cell>
        </row>
        <row r="12">
          <cell r="A12">
            <v>10</v>
          </cell>
          <cell r="B12">
            <v>65.180000000000007</v>
          </cell>
        </row>
        <row r="13">
          <cell r="A13">
            <v>11</v>
          </cell>
          <cell r="B13">
            <v>66.47999999999999</v>
          </cell>
        </row>
        <row r="14">
          <cell r="A14">
            <v>12</v>
          </cell>
          <cell r="B14">
            <v>67.67</v>
          </cell>
        </row>
        <row r="15">
          <cell r="A15">
            <v>13</v>
          </cell>
          <cell r="B15">
            <v>68.77</v>
          </cell>
        </row>
        <row r="16">
          <cell r="A16">
            <v>14</v>
          </cell>
          <cell r="B16">
            <v>69.789999999999992</v>
          </cell>
        </row>
        <row r="17">
          <cell r="A17">
            <v>15</v>
          </cell>
          <cell r="B17">
            <v>70.73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239"/>
  <sheetViews>
    <sheetView tabSelected="1" view="pageBreakPreview" topLeftCell="A19" zoomScaleNormal="100" zoomScaleSheetLayoutView="100" workbookViewId="0">
      <selection activeCell="E40" sqref="E40"/>
    </sheetView>
  </sheetViews>
  <sheetFormatPr defaultRowHeight="12.75" x14ac:dyDescent="0.2"/>
  <cols>
    <col min="1" max="1" width="44.5703125" style="6" customWidth="1"/>
    <col min="2" max="2" width="16" style="6" bestFit="1" customWidth="1"/>
    <col min="3" max="3" width="11.85546875" style="6" customWidth="1"/>
    <col min="4" max="4" width="14.7109375" style="7" customWidth="1"/>
    <col min="5" max="5" width="15.42578125" style="7" customWidth="1"/>
    <col min="6" max="6" width="13.28515625" style="7" customWidth="1"/>
    <col min="7" max="7" width="28.140625" style="7" customWidth="1"/>
    <col min="8" max="8" width="9.140625" style="6"/>
    <col min="9" max="9" width="14.5703125" style="6" customWidth="1"/>
    <col min="10" max="10" width="13.42578125" style="6" customWidth="1"/>
    <col min="11" max="18" width="9.140625" style="6"/>
    <col min="19" max="19" width="10" style="6" bestFit="1" customWidth="1"/>
    <col min="20" max="16384" width="9.140625" style="6"/>
  </cols>
  <sheetData>
    <row r="1" spans="1:7" s="2" customFormat="1" ht="16.5" customHeight="1" thickBot="1" x14ac:dyDescent="0.25">
      <c r="A1" s="4"/>
      <c r="B1" s="3"/>
      <c r="C1" s="3"/>
      <c r="D1" s="211"/>
      <c r="E1" s="211"/>
      <c r="F1" s="211"/>
      <c r="G1" s="211"/>
    </row>
    <row r="2" spans="1:7" s="5" customFormat="1" ht="18" x14ac:dyDescent="0.2">
      <c r="A2" s="337" t="s">
        <v>246</v>
      </c>
      <c r="B2" s="338"/>
      <c r="C2" s="338"/>
      <c r="D2" s="338"/>
      <c r="E2" s="338"/>
      <c r="F2" s="339"/>
      <c r="G2" s="20"/>
    </row>
    <row r="3" spans="1:7" s="5" customFormat="1" ht="21.75" customHeight="1" x14ac:dyDescent="0.2">
      <c r="A3" s="340" t="s">
        <v>247</v>
      </c>
      <c r="B3" s="341"/>
      <c r="C3" s="341"/>
      <c r="D3" s="341"/>
      <c r="E3" s="341"/>
      <c r="F3" s="342"/>
      <c r="G3" s="20"/>
    </row>
    <row r="4" spans="1:7" s="2" customFormat="1" ht="10.9" customHeight="1" thickBot="1" x14ac:dyDescent="0.25">
      <c r="A4" s="76"/>
      <c r="B4" s="77"/>
      <c r="C4" s="77"/>
      <c r="D4" s="212"/>
      <c r="E4" s="212"/>
      <c r="F4" s="213"/>
      <c r="G4" s="211"/>
    </row>
    <row r="5" spans="1:7" s="2" customFormat="1" ht="15.75" customHeight="1" thickBot="1" x14ac:dyDescent="0.25">
      <c r="A5" s="343" t="s">
        <v>185</v>
      </c>
      <c r="B5" s="344"/>
      <c r="C5" s="344"/>
      <c r="D5" s="344"/>
      <c r="E5" s="344"/>
      <c r="F5" s="345"/>
      <c r="G5" s="211"/>
    </row>
    <row r="6" spans="1:7" s="2" customFormat="1" ht="15.75" customHeight="1" x14ac:dyDescent="0.2">
      <c r="A6" s="34" t="s">
        <v>184</v>
      </c>
      <c r="B6" s="214"/>
      <c r="C6" s="214"/>
      <c r="D6" s="167"/>
      <c r="E6" s="56" t="s">
        <v>34</v>
      </c>
      <c r="F6" s="21" t="s">
        <v>1</v>
      </c>
      <c r="G6" s="211"/>
    </row>
    <row r="7" spans="1:7" s="8" customFormat="1" ht="15.75" customHeight="1" x14ac:dyDescent="0.2">
      <c r="A7" s="63" t="str">
        <f>A40</f>
        <v>1. Mão-de-obra</v>
      </c>
      <c r="B7" s="64"/>
      <c r="C7" s="65"/>
      <c r="D7" s="65"/>
      <c r="E7" s="304">
        <f>F71</f>
        <v>7421.3334568699202</v>
      </c>
      <c r="F7" s="305">
        <f t="shared" ref="F7:F25" si="0">IFERROR(E7/$E$26,0)</f>
        <v>0.31333466827131989</v>
      </c>
      <c r="G7" s="24"/>
    </row>
    <row r="8" spans="1:7" s="2" customFormat="1" ht="15.75" customHeight="1" x14ac:dyDescent="0.2">
      <c r="A8" s="314" t="str">
        <f>A42</f>
        <v>1.1. Coletor Turno Dia</v>
      </c>
      <c r="B8" s="311"/>
      <c r="C8" s="315"/>
      <c r="D8" s="315"/>
      <c r="E8" s="312">
        <f>F50</f>
        <v>5416.878054672</v>
      </c>
      <c r="F8" s="316">
        <f t="shared" si="0"/>
        <v>0.22870494880615544</v>
      </c>
      <c r="G8" s="211"/>
    </row>
    <row r="9" spans="1:7" s="2" customFormat="1" ht="15.75" customHeight="1" x14ac:dyDescent="0.2">
      <c r="A9" s="314" t="str">
        <f>A52</f>
        <v>1.2. Motorista Turno do Dia</v>
      </c>
      <c r="B9" s="311"/>
      <c r="C9" s="315"/>
      <c r="D9" s="315"/>
      <c r="E9" s="312">
        <f>F60</f>
        <v>1509.38085312</v>
      </c>
      <c r="F9" s="316">
        <f t="shared" si="0"/>
        <v>6.3727273765018022E-2</v>
      </c>
      <c r="G9" s="211"/>
    </row>
    <row r="10" spans="1:7" s="2" customFormat="1" ht="15.75" customHeight="1" x14ac:dyDescent="0.2">
      <c r="A10" s="314" t="str">
        <f>A62</f>
        <v>1.3. Auxilio Alimentação</v>
      </c>
      <c r="B10" s="311"/>
      <c r="C10" s="315"/>
      <c r="D10" s="315"/>
      <c r="E10" s="312">
        <f>F66</f>
        <v>421.59599999999995</v>
      </c>
      <c r="F10" s="316">
        <f t="shared" si="0"/>
        <v>1.7800122251915514E-2</v>
      </c>
      <c r="G10" s="211"/>
    </row>
    <row r="11" spans="1:7" s="2" customFormat="1" ht="15.75" customHeight="1" x14ac:dyDescent="0.2">
      <c r="A11" s="314" t="str">
        <f>A70</f>
        <v>Reserva técnica</v>
      </c>
      <c r="B11" s="311"/>
      <c r="C11" s="315"/>
      <c r="D11" s="315"/>
      <c r="E11" s="312">
        <f>F70</f>
        <v>73.478549077919993</v>
      </c>
      <c r="F11" s="316">
        <f t="shared" si="0"/>
        <v>3.1023234482308896E-3</v>
      </c>
      <c r="G11" s="211"/>
    </row>
    <row r="12" spans="1:7" s="8" customFormat="1" ht="15.75" customHeight="1" x14ac:dyDescent="0.2">
      <c r="A12" s="335" t="str">
        <f>A75</f>
        <v>2. Uniformes e Equipamentos de Proteção Individual</v>
      </c>
      <c r="B12" s="336"/>
      <c r="C12" s="336"/>
      <c r="D12" s="65"/>
      <c r="E12" s="304">
        <f>F110</f>
        <v>357.10428599999995</v>
      </c>
      <c r="F12" s="305">
        <f t="shared" si="0"/>
        <v>1.5077230209686529E-2</v>
      </c>
      <c r="G12" s="24"/>
    </row>
    <row r="13" spans="1:7" s="8" customFormat="1" ht="15.75" customHeight="1" x14ac:dyDescent="0.2">
      <c r="A13" s="35" t="str">
        <f>A109</f>
        <v>Reserva técnica</v>
      </c>
      <c r="B13" s="329"/>
      <c r="C13" s="329"/>
      <c r="D13" s="219"/>
      <c r="E13" s="312">
        <f>F109</f>
        <v>3.5356859999999997</v>
      </c>
      <c r="F13" s="306">
        <f t="shared" si="0"/>
        <v>1.492795070265993E-4</v>
      </c>
      <c r="G13" s="24"/>
    </row>
    <row r="14" spans="1:7" s="8" customFormat="1" ht="15.75" customHeight="1" x14ac:dyDescent="0.2">
      <c r="A14" s="279" t="str">
        <f>A112</f>
        <v>3. Veículos e Equipamentos</v>
      </c>
      <c r="B14" s="68"/>
      <c r="C14" s="65"/>
      <c r="D14" s="65"/>
      <c r="E14" s="304">
        <f>E15</f>
        <v>5117.5998087500002</v>
      </c>
      <c r="F14" s="305">
        <f t="shared" si="0"/>
        <v>0.2160691805238415</v>
      </c>
      <c r="G14" s="24"/>
    </row>
    <row r="15" spans="1:7" s="2" customFormat="1" ht="15.75" customHeight="1" x14ac:dyDescent="0.2">
      <c r="A15" s="35" t="str">
        <f>A114</f>
        <v>3.1. Veículo Coletor Compactador 15 m³</v>
      </c>
      <c r="B15" s="313"/>
      <c r="C15" s="315"/>
      <c r="D15" s="315"/>
      <c r="E15" s="312">
        <f>SUM(E16:E21)</f>
        <v>5117.5998087500002</v>
      </c>
      <c r="F15" s="306">
        <f t="shared" si="0"/>
        <v>0.2160691805238415</v>
      </c>
      <c r="G15" s="211"/>
    </row>
    <row r="16" spans="1:7" s="2" customFormat="1" ht="15.75" customHeight="1" x14ac:dyDescent="0.2">
      <c r="A16" s="35" t="str">
        <f>A116</f>
        <v>3.1.1. Depreciação</v>
      </c>
      <c r="B16" s="313"/>
      <c r="C16" s="315"/>
      <c r="D16" s="315"/>
      <c r="E16" s="312">
        <f>F130</f>
        <v>737.63550000000009</v>
      </c>
      <c r="F16" s="306">
        <f t="shared" si="0"/>
        <v>3.1143564164159126E-2</v>
      </c>
      <c r="G16" s="211"/>
    </row>
    <row r="17" spans="1:7" s="2" customFormat="1" ht="15.75" customHeight="1" x14ac:dyDescent="0.2">
      <c r="A17" s="35" t="str">
        <f>A132</f>
        <v>3.1.2. Remuneração do Capital</v>
      </c>
      <c r="B17" s="313"/>
      <c r="C17" s="315"/>
      <c r="D17" s="315"/>
      <c r="E17" s="312">
        <f>F146</f>
        <v>294.19740875000002</v>
      </c>
      <c r="F17" s="306">
        <f t="shared" si="0"/>
        <v>1.2421251249885579E-2</v>
      </c>
      <c r="G17" s="211"/>
    </row>
    <row r="18" spans="1:7" s="2" customFormat="1" ht="15.75" customHeight="1" x14ac:dyDescent="0.2">
      <c r="A18" s="35" t="str">
        <f>A148</f>
        <v>3.1.3. Impostos e Seguros</v>
      </c>
      <c r="B18" s="313"/>
      <c r="C18" s="315"/>
      <c r="D18" s="315"/>
      <c r="E18" s="312">
        <f>F154</f>
        <v>183.63239999999999</v>
      </c>
      <c r="F18" s="306">
        <f t="shared" si="0"/>
        <v>7.7531076419431189E-3</v>
      </c>
      <c r="G18" s="211"/>
    </row>
    <row r="19" spans="1:7" s="2" customFormat="1" ht="15.75" customHeight="1" x14ac:dyDescent="0.2">
      <c r="A19" s="35" t="str">
        <f>A156</f>
        <v>3.1.4. Consumos</v>
      </c>
      <c r="B19" s="313"/>
      <c r="C19" s="315"/>
      <c r="D19" s="315"/>
      <c r="E19" s="312">
        <f>F172</f>
        <v>2355.1965</v>
      </c>
      <c r="F19" s="306">
        <f t="shared" si="0"/>
        <v>9.9438290750584787E-2</v>
      </c>
      <c r="G19" s="211"/>
    </row>
    <row r="20" spans="1:7" s="2" customFormat="1" ht="15.75" customHeight="1" x14ac:dyDescent="0.2">
      <c r="A20" s="35" t="str">
        <f>A174</f>
        <v>3.1.5. Manutenção</v>
      </c>
      <c r="B20" s="313"/>
      <c r="C20" s="315"/>
      <c r="D20" s="315"/>
      <c r="E20" s="312">
        <f>F177</f>
        <v>1012.5</v>
      </c>
      <c r="F20" s="306">
        <f t="shared" si="0"/>
        <v>4.2748564455223632E-2</v>
      </c>
      <c r="G20" s="211"/>
    </row>
    <row r="21" spans="1:7" s="2" customFormat="1" ht="15.75" customHeight="1" x14ac:dyDescent="0.2">
      <c r="A21" s="35" t="str">
        <f>A179</f>
        <v>3.1.6. Pneus</v>
      </c>
      <c r="B21" s="313"/>
      <c r="C21" s="315"/>
      <c r="D21" s="315"/>
      <c r="E21" s="312">
        <f>F186</f>
        <v>534.43799999999999</v>
      </c>
      <c r="F21" s="306">
        <f t="shared" si="0"/>
        <v>2.256440226204524E-2</v>
      </c>
      <c r="G21" s="211"/>
    </row>
    <row r="22" spans="1:7" x14ac:dyDescent="0.2">
      <c r="A22" s="279" t="str">
        <f>A190</f>
        <v>4. Ferramentas e Materiais de Consumo</v>
      </c>
      <c r="B22" s="68"/>
      <c r="C22" s="65"/>
      <c r="D22" s="65"/>
      <c r="E22" s="304">
        <f>+F200</f>
        <v>22.785</v>
      </c>
      <c r="F22" s="305">
        <f t="shared" si="0"/>
        <v>9.6200102825903257E-4</v>
      </c>
      <c r="G22" s="24"/>
    </row>
    <row r="23" spans="1:7" x14ac:dyDescent="0.2">
      <c r="A23" s="279" t="str">
        <f>A202</f>
        <v>5. Monitoramento da Frota</v>
      </c>
      <c r="B23" s="68"/>
      <c r="C23" s="65"/>
      <c r="D23" s="65"/>
      <c r="E23" s="304">
        <f>+F211</f>
        <v>27.470800000000001</v>
      </c>
      <c r="F23" s="305">
        <f t="shared" si="0"/>
        <v>1.1598392735175875E-3</v>
      </c>
      <c r="G23" s="24"/>
    </row>
    <row r="24" spans="1:7" s="2" customFormat="1" ht="15" customHeight="1" x14ac:dyDescent="0.2">
      <c r="A24" s="279" t="str">
        <f>A215</f>
        <v>6. Benefícios e Despesas Indiretas - BDI</v>
      </c>
      <c r="B24" s="68"/>
      <c r="C24" s="65"/>
      <c r="D24" s="65"/>
      <c r="E24" s="304">
        <f>+F221</f>
        <v>3588.7125170690415</v>
      </c>
      <c r="F24" s="307">
        <f t="shared" si="0"/>
        <v>0.15151832923179631</v>
      </c>
      <c r="G24" s="24"/>
    </row>
    <row r="25" spans="1:7" s="2" customFormat="1" ht="15" customHeight="1" thickBot="1" x14ac:dyDescent="0.25">
      <c r="A25" s="278" t="s">
        <v>263</v>
      </c>
      <c r="B25" s="195"/>
      <c r="C25" s="19"/>
      <c r="D25" s="19"/>
      <c r="E25" s="308">
        <f>F231</f>
        <v>7150</v>
      </c>
      <c r="F25" s="307">
        <f t="shared" si="0"/>
        <v>0.30187875146157922</v>
      </c>
      <c r="G25" s="24"/>
    </row>
    <row r="26" spans="1:7" s="2" customFormat="1" ht="15" customHeight="1" thickBot="1" x14ac:dyDescent="0.25">
      <c r="A26" s="22" t="s">
        <v>221</v>
      </c>
      <c r="B26" s="23"/>
      <c r="C26" s="14"/>
      <c r="D26" s="14"/>
      <c r="E26" s="309">
        <f>E7+E12+E14+E22+E23+E24+E25</f>
        <v>23685.005868688961</v>
      </c>
      <c r="F26" s="310">
        <f>F7+F12+F14+F22+F23+F24+F25</f>
        <v>1.0000000000000002</v>
      </c>
      <c r="G26" s="211"/>
    </row>
    <row r="27" spans="1:7" s="2" customFormat="1" ht="15" customHeight="1" x14ac:dyDescent="0.2">
      <c r="A27" s="4"/>
      <c r="B27" s="4"/>
      <c r="C27" s="4"/>
      <c r="D27" s="190"/>
      <c r="E27" s="190"/>
      <c r="F27" s="190"/>
      <c r="G27" s="190"/>
    </row>
    <row r="28" spans="1:7" s="2" customFormat="1" ht="15" customHeight="1" thickBot="1" x14ac:dyDescent="0.25">
      <c r="A28" s="4"/>
      <c r="B28" s="4"/>
      <c r="C28" s="4"/>
      <c r="D28" s="190"/>
      <c r="E28" s="190"/>
      <c r="F28" s="190"/>
      <c r="G28" s="190"/>
    </row>
    <row r="29" spans="1:7" s="2" customFormat="1" ht="15" customHeight="1" thickBot="1" x14ac:dyDescent="0.25">
      <c r="A29" s="343" t="s">
        <v>86</v>
      </c>
      <c r="B29" s="344"/>
      <c r="C29" s="344"/>
      <c r="D29" s="344"/>
      <c r="E29" s="345"/>
      <c r="F29" s="190"/>
      <c r="G29" s="211"/>
    </row>
    <row r="30" spans="1:7" s="2" customFormat="1" ht="15" customHeight="1" thickBot="1" x14ac:dyDescent="0.25">
      <c r="A30" s="346" t="s">
        <v>35</v>
      </c>
      <c r="B30" s="347"/>
      <c r="C30" s="347"/>
      <c r="D30" s="348"/>
      <c r="E30" s="25" t="s">
        <v>36</v>
      </c>
      <c r="F30" s="190"/>
      <c r="G30" s="211"/>
    </row>
    <row r="31" spans="1:7" s="2" customFormat="1" ht="15" customHeight="1" x14ac:dyDescent="0.2">
      <c r="A31" s="215" t="str">
        <f>+A42</f>
        <v>1.1. Coletor Turno Dia</v>
      </c>
      <c r="B31" s="216"/>
      <c r="C31" s="216"/>
      <c r="D31" s="38"/>
      <c r="E31" s="217">
        <v>4</v>
      </c>
      <c r="F31" s="190"/>
      <c r="G31" s="211"/>
    </row>
    <row r="32" spans="1:7" s="2" customFormat="1" ht="15" customHeight="1" x14ac:dyDescent="0.2">
      <c r="A32" s="218" t="str">
        <f>+A52</f>
        <v>1.2. Motorista Turno do Dia</v>
      </c>
      <c r="B32" s="219"/>
      <c r="C32" s="219"/>
      <c r="D32" s="39"/>
      <c r="E32" s="220">
        <f>C59</f>
        <v>1</v>
      </c>
      <c r="F32" s="190"/>
      <c r="G32" s="211"/>
    </row>
    <row r="33" spans="1:7" s="2" customFormat="1" ht="15" customHeight="1" thickBot="1" x14ac:dyDescent="0.25">
      <c r="A33" s="36" t="s">
        <v>53</v>
      </c>
      <c r="B33" s="37"/>
      <c r="C33" s="37"/>
      <c r="D33" s="40"/>
      <c r="E33" s="41">
        <f>SUM(E31:E32)</f>
        <v>5</v>
      </c>
      <c r="F33" s="190"/>
      <c r="G33" s="211"/>
    </row>
    <row r="34" spans="1:7" s="2" customFormat="1" ht="15.75" thickBot="1" x14ac:dyDescent="0.25">
      <c r="A34" s="66"/>
      <c r="B34" s="67"/>
      <c r="C34" s="221"/>
      <c r="D34" s="221"/>
      <c r="E34" s="222"/>
      <c r="F34" s="190"/>
      <c r="G34" s="211"/>
    </row>
    <row r="35" spans="1:7" s="8" customFormat="1" ht="15.75" customHeight="1" x14ac:dyDescent="0.2">
      <c r="A35" s="333" t="s">
        <v>50</v>
      </c>
      <c r="B35" s="334"/>
      <c r="C35" s="334"/>
      <c r="D35" s="334"/>
      <c r="E35" s="25" t="s">
        <v>36</v>
      </c>
      <c r="F35" s="4"/>
      <c r="G35" s="211"/>
    </row>
    <row r="36" spans="1:7" s="2" customFormat="1" ht="15.75" customHeight="1" thickBot="1" x14ac:dyDescent="0.25">
      <c r="A36" s="223" t="str">
        <f>+A114</f>
        <v>3.1. Veículo Coletor Compactador 15 m³</v>
      </c>
      <c r="B36" s="224"/>
      <c r="C36" s="224"/>
      <c r="D36" s="225"/>
      <c r="E36" s="226">
        <f>C129</f>
        <v>1</v>
      </c>
      <c r="F36" s="4"/>
      <c r="G36" s="211"/>
    </row>
    <row r="37" spans="1:7" ht="11.25" customHeight="1" thickBot="1" x14ac:dyDescent="0.25">
      <c r="A37" s="221"/>
      <c r="B37" s="221"/>
      <c r="C37" s="221"/>
      <c r="D37" s="69"/>
      <c r="E37" s="4"/>
      <c r="F37" s="211"/>
      <c r="G37" s="2"/>
    </row>
    <row r="38" spans="1:7" ht="13.9" customHeight="1" thickBot="1" x14ac:dyDescent="0.25">
      <c r="A38" s="168" t="s">
        <v>179</v>
      </c>
      <c r="B38" s="227">
        <v>0.42</v>
      </c>
      <c r="C38" s="19"/>
      <c r="D38" s="18"/>
      <c r="E38" s="8"/>
      <c r="F38" s="24"/>
      <c r="G38" s="8"/>
    </row>
    <row r="39" spans="1:7" ht="13.9" customHeight="1" x14ac:dyDescent="0.2">
      <c r="A39" s="221"/>
      <c r="B39" s="221"/>
      <c r="C39" s="221"/>
      <c r="D39" s="69"/>
      <c r="E39" s="4"/>
      <c r="F39" s="211"/>
      <c r="G39" s="2"/>
    </row>
    <row r="40" spans="1:7" ht="13.15" customHeight="1" x14ac:dyDescent="0.2">
      <c r="A40" s="8" t="s">
        <v>41</v>
      </c>
      <c r="B40" s="4"/>
      <c r="C40" s="4"/>
      <c r="D40" s="190"/>
      <c r="E40" s="190"/>
      <c r="F40" s="190"/>
      <c r="G40" s="4"/>
    </row>
    <row r="41" spans="1:7" x14ac:dyDescent="0.2">
      <c r="A41" s="4"/>
      <c r="B41" s="4"/>
      <c r="C41" s="4"/>
      <c r="D41" s="190"/>
      <c r="E41" s="190"/>
      <c r="F41" s="190"/>
      <c r="G41" s="4"/>
    </row>
    <row r="42" spans="1:7" ht="13.15" customHeight="1" thickBot="1" x14ac:dyDescent="0.25">
      <c r="A42" s="4" t="s">
        <v>87</v>
      </c>
      <c r="B42" s="4"/>
      <c r="C42" s="4"/>
      <c r="D42" s="190"/>
      <c r="E42" s="190"/>
      <c r="F42" s="190"/>
      <c r="G42" s="4"/>
    </row>
    <row r="43" spans="1:7" ht="13.15" customHeight="1" thickBot="1" x14ac:dyDescent="0.25">
      <c r="A43" s="30" t="s">
        <v>58</v>
      </c>
      <c r="B43" s="31" t="s">
        <v>59</v>
      </c>
      <c r="C43" s="31" t="s">
        <v>36</v>
      </c>
      <c r="D43" s="32" t="s">
        <v>217</v>
      </c>
      <c r="E43" s="32" t="s">
        <v>60</v>
      </c>
      <c r="F43" s="33" t="s">
        <v>61</v>
      </c>
      <c r="G43" s="4"/>
    </row>
    <row r="44" spans="1:7" x14ac:dyDescent="0.2">
      <c r="A44" s="188" t="s">
        <v>198</v>
      </c>
      <c r="B44" s="189" t="s">
        <v>6</v>
      </c>
      <c r="C44" s="228">
        <v>1</v>
      </c>
      <c r="D44" s="229">
        <v>1330.73</v>
      </c>
      <c r="E44" s="230">
        <f>C44*D44</f>
        <v>1330.73</v>
      </c>
      <c r="F44" s="190">
        <f>IF(D44&lt;1221.88,"O valor informado é menor do que o piso da categoria",)</f>
        <v>0</v>
      </c>
      <c r="G44" s="4"/>
    </row>
    <row r="45" spans="1:7" x14ac:dyDescent="0.2">
      <c r="A45" s="192" t="s">
        <v>0</v>
      </c>
      <c r="B45" s="194" t="s">
        <v>1</v>
      </c>
      <c r="C45" s="194">
        <v>40</v>
      </c>
      <c r="D45" s="231">
        <f>SUM(E44:E44)</f>
        <v>1330.73</v>
      </c>
      <c r="E45" s="232">
        <f>C45*D45/100</f>
        <v>532.29199999999992</v>
      </c>
      <c r="F45" s="190"/>
      <c r="G45" s="4"/>
    </row>
    <row r="46" spans="1:7" ht="13.9" customHeight="1" x14ac:dyDescent="0.2">
      <c r="A46" s="57" t="s">
        <v>2</v>
      </c>
      <c r="B46" s="58"/>
      <c r="C46" s="58"/>
      <c r="D46" s="59"/>
      <c r="E46" s="60">
        <f>SUM(E44:E45)</f>
        <v>1863.0219999999999</v>
      </c>
      <c r="F46" s="190"/>
      <c r="G46" s="4"/>
    </row>
    <row r="47" spans="1:7" ht="11.25" customHeight="1" x14ac:dyDescent="0.2">
      <c r="A47" s="192" t="s">
        <v>3</v>
      </c>
      <c r="B47" s="194" t="s">
        <v>1</v>
      </c>
      <c r="C47" s="233">
        <v>73.069999999999993</v>
      </c>
      <c r="D47" s="232">
        <f>E46</f>
        <v>1863.0219999999999</v>
      </c>
      <c r="E47" s="232">
        <f>D47*C47/100</f>
        <v>1361.3101753999997</v>
      </c>
      <c r="F47" s="190"/>
      <c r="G47" s="4"/>
    </row>
    <row r="48" spans="1:7" ht="13.5" customHeight="1" x14ac:dyDescent="0.2">
      <c r="A48" s="57" t="s">
        <v>67</v>
      </c>
      <c r="B48" s="234"/>
      <c r="C48" s="234"/>
      <c r="D48" s="59"/>
      <c r="E48" s="60">
        <f>E46+E47</f>
        <v>3224.3321753999999</v>
      </c>
      <c r="F48" s="190"/>
      <c r="G48" s="4"/>
    </row>
    <row r="49" spans="1:7" ht="13.5" customHeight="1" thickBot="1" x14ac:dyDescent="0.25">
      <c r="A49" s="192" t="s">
        <v>4</v>
      </c>
      <c r="B49" s="235" t="s">
        <v>5</v>
      </c>
      <c r="C49" s="235">
        <v>4</v>
      </c>
      <c r="D49" s="232">
        <f>E48</f>
        <v>3224.3321753999999</v>
      </c>
      <c r="E49" s="232">
        <f>C49*D49</f>
        <v>12897.328701599999</v>
      </c>
      <c r="F49" s="190"/>
      <c r="G49" s="4"/>
    </row>
    <row r="50" spans="1:7" ht="12.75" customHeight="1" thickBot="1" x14ac:dyDescent="0.25">
      <c r="A50" s="4"/>
      <c r="B50" s="4"/>
      <c r="C50" s="4"/>
      <c r="D50" s="236" t="s">
        <v>178</v>
      </c>
      <c r="E50" s="237">
        <f>B38</f>
        <v>0.42</v>
      </c>
      <c r="F50" s="62">
        <f>E49*E50</f>
        <v>5416.878054672</v>
      </c>
      <c r="G50" s="4"/>
    </row>
    <row r="51" spans="1:7" x14ac:dyDescent="0.2">
      <c r="A51" s="4"/>
      <c r="B51" s="4"/>
      <c r="C51" s="4"/>
      <c r="D51" s="190"/>
      <c r="E51" s="190"/>
      <c r="F51" s="190"/>
      <c r="G51" s="4"/>
    </row>
    <row r="52" spans="1:7" ht="13.5" thickBot="1" x14ac:dyDescent="0.25">
      <c r="A52" s="4" t="s">
        <v>245</v>
      </c>
      <c r="B52" s="4"/>
      <c r="C52" s="4"/>
      <c r="D52" s="190"/>
      <c r="E52" s="190"/>
      <c r="F52" s="190"/>
      <c r="G52" s="4"/>
    </row>
    <row r="53" spans="1:7" ht="13.5" thickBot="1" x14ac:dyDescent="0.25">
      <c r="A53" s="30" t="s">
        <v>58</v>
      </c>
      <c r="B53" s="31" t="s">
        <v>59</v>
      </c>
      <c r="C53" s="240" t="s">
        <v>36</v>
      </c>
      <c r="D53" s="241" t="s">
        <v>217</v>
      </c>
      <c r="E53" s="32" t="s">
        <v>60</v>
      </c>
      <c r="F53" s="33" t="s">
        <v>61</v>
      </c>
      <c r="G53" s="9"/>
    </row>
    <row r="54" spans="1:7" ht="13.15" customHeight="1" x14ac:dyDescent="0.2">
      <c r="A54" s="188" t="s">
        <v>199</v>
      </c>
      <c r="B54" s="189" t="s">
        <v>6</v>
      </c>
      <c r="C54" s="228">
        <v>1</v>
      </c>
      <c r="D54" s="229">
        <v>1658.48</v>
      </c>
      <c r="E54" s="230">
        <f>C54*D54</f>
        <v>1658.48</v>
      </c>
      <c r="F54" s="190">
        <f>IF(D54&lt;1552.22,"O valor informado é menor do que o piso da categoria",)</f>
        <v>0</v>
      </c>
      <c r="G54" s="4"/>
    </row>
    <row r="55" spans="1:7" x14ac:dyDescent="0.2">
      <c r="A55" s="192" t="s">
        <v>0</v>
      </c>
      <c r="B55" s="194" t="s">
        <v>1</v>
      </c>
      <c r="C55" s="235">
        <v>40</v>
      </c>
      <c r="D55" s="231">
        <v>1045</v>
      </c>
      <c r="E55" s="232">
        <f>C55*D55/100</f>
        <v>418</v>
      </c>
      <c r="F55" s="190"/>
      <c r="G55" s="4"/>
    </row>
    <row r="56" spans="1:7" x14ac:dyDescent="0.2">
      <c r="A56" s="47" t="s">
        <v>2</v>
      </c>
      <c r="B56" s="58"/>
      <c r="C56" s="234"/>
      <c r="D56" s="239"/>
      <c r="E56" s="49">
        <f>SUM(E54:E55)</f>
        <v>2076.48</v>
      </c>
      <c r="F56" s="24"/>
      <c r="G56" s="8"/>
    </row>
    <row r="57" spans="1:7" ht="11.25" customHeight="1" x14ac:dyDescent="0.2">
      <c r="A57" s="192" t="s">
        <v>3</v>
      </c>
      <c r="B57" s="194" t="s">
        <v>1</v>
      </c>
      <c r="C57" s="231">
        <v>73.069999999999993</v>
      </c>
      <c r="D57" s="231">
        <f>E56</f>
        <v>2076.48</v>
      </c>
      <c r="E57" s="232">
        <f>D57*C57/100</f>
        <v>1517.2839359999998</v>
      </c>
      <c r="F57" s="190"/>
      <c r="G57" s="4"/>
    </row>
    <row r="58" spans="1:7" ht="13.5" customHeight="1" x14ac:dyDescent="0.2">
      <c r="A58" s="47" t="s">
        <v>233</v>
      </c>
      <c r="B58" s="174"/>
      <c r="C58" s="196"/>
      <c r="D58" s="243"/>
      <c r="E58" s="49">
        <f>E56+E57</f>
        <v>3593.7639359999998</v>
      </c>
      <c r="F58" s="24"/>
      <c r="G58" s="8"/>
    </row>
    <row r="59" spans="1:7" ht="13.5" customHeight="1" thickBot="1" x14ac:dyDescent="0.25">
      <c r="A59" s="192" t="s">
        <v>4</v>
      </c>
      <c r="B59" s="194" t="s">
        <v>5</v>
      </c>
      <c r="C59" s="235">
        <v>1</v>
      </c>
      <c r="D59" s="231">
        <f>E58</f>
        <v>3593.7639359999998</v>
      </c>
      <c r="E59" s="232">
        <f>C59*D59</f>
        <v>3593.7639359999998</v>
      </c>
      <c r="F59" s="190"/>
      <c r="G59" s="4"/>
    </row>
    <row r="60" spans="1:7" ht="12.75" customHeight="1" thickBot="1" x14ac:dyDescent="0.25">
      <c r="A60" s="4"/>
      <c r="B60" s="4"/>
      <c r="C60" s="4"/>
      <c r="D60" s="236" t="s">
        <v>178</v>
      </c>
      <c r="E60" s="237">
        <f>B38</f>
        <v>0.42</v>
      </c>
      <c r="F60" s="62">
        <f>E59*E60</f>
        <v>1509.38085312</v>
      </c>
      <c r="G60" s="4"/>
    </row>
    <row r="61" spans="1:7" ht="12.75" customHeight="1" x14ac:dyDescent="0.2">
      <c r="A61" s="4"/>
      <c r="B61" s="4"/>
      <c r="C61" s="4"/>
      <c r="D61" s="190"/>
      <c r="E61" s="190"/>
      <c r="F61" s="190"/>
      <c r="G61" s="4"/>
    </row>
    <row r="62" spans="1:7" ht="13.5" customHeight="1" thickBot="1" x14ac:dyDescent="0.25">
      <c r="A62" s="4" t="s">
        <v>298</v>
      </c>
      <c r="B62" s="327"/>
      <c r="C62" s="4"/>
      <c r="D62" s="4"/>
      <c r="E62" s="4"/>
      <c r="F62" s="190"/>
      <c r="G62" s="4"/>
    </row>
    <row r="63" spans="1:7" ht="13.5" customHeight="1" thickBot="1" x14ac:dyDescent="0.25">
      <c r="A63" s="30" t="s">
        <v>58</v>
      </c>
      <c r="B63" s="31" t="s">
        <v>59</v>
      </c>
      <c r="C63" s="31" t="s">
        <v>36</v>
      </c>
      <c r="D63" s="32" t="s">
        <v>217</v>
      </c>
      <c r="E63" s="32" t="s">
        <v>60</v>
      </c>
      <c r="F63" s="33" t="s">
        <v>61</v>
      </c>
      <c r="G63" s="4"/>
    </row>
    <row r="64" spans="1:7" ht="13.5" customHeight="1" x14ac:dyDescent="0.2">
      <c r="A64" s="192" t="s">
        <v>296</v>
      </c>
      <c r="B64" s="194" t="s">
        <v>59</v>
      </c>
      <c r="C64" s="264">
        <v>3</v>
      </c>
      <c r="D64" s="268">
        <v>351.33</v>
      </c>
      <c r="E64" s="232">
        <f>IFERROR(C64*D64,"-")</f>
        <v>1053.99</v>
      </c>
      <c r="F64" s="190"/>
      <c r="G64" s="4"/>
    </row>
    <row r="65" spans="1:7" ht="13.5" customHeight="1" thickBot="1" x14ac:dyDescent="0.25">
      <c r="A65" s="188" t="s">
        <v>297</v>
      </c>
      <c r="B65" s="189" t="s">
        <v>59</v>
      </c>
      <c r="C65" s="244">
        <v>1</v>
      </c>
      <c r="D65" s="230">
        <v>351.33</v>
      </c>
      <c r="E65" s="230">
        <f>IFERROR(C65*D65,"-")</f>
        <v>351.33</v>
      </c>
      <c r="F65" s="190"/>
      <c r="G65" s="4"/>
    </row>
    <row r="66" spans="1:7" ht="13.5" customHeight="1" thickBot="1" x14ac:dyDescent="0.25">
      <c r="A66" s="4"/>
      <c r="B66" s="4"/>
      <c r="C66" s="349" t="str">
        <f>D60</f>
        <v>Fator de utilização</v>
      </c>
      <c r="D66" s="350"/>
      <c r="E66" s="237">
        <f>E60</f>
        <v>0.42</v>
      </c>
      <c r="F66" s="328">
        <f>(E64+E65)*0.3</f>
        <v>421.59599999999995</v>
      </c>
      <c r="G66" s="4"/>
    </row>
    <row r="67" spans="1:7" ht="13.5" customHeight="1" thickBot="1" x14ac:dyDescent="0.25">
      <c r="A67" s="4"/>
      <c r="B67" s="4"/>
      <c r="C67" s="4"/>
      <c r="D67" s="190"/>
      <c r="E67" s="190"/>
      <c r="F67" s="190"/>
      <c r="G67" s="4"/>
    </row>
    <row r="68" spans="1:7" ht="13.5" customHeight="1" thickBot="1" x14ac:dyDescent="0.25">
      <c r="A68" s="12" t="s">
        <v>293</v>
      </c>
      <c r="B68" s="13"/>
      <c r="C68" s="13"/>
      <c r="D68" s="14"/>
      <c r="E68" s="15"/>
      <c r="F68" s="11">
        <f>F60+F50+F66</f>
        <v>7347.8549077919997</v>
      </c>
      <c r="G68" s="4"/>
    </row>
    <row r="69" spans="1:7" ht="13.5" customHeight="1" x14ac:dyDescent="0.2">
      <c r="A69" s="18"/>
      <c r="B69" s="69"/>
      <c r="C69" s="69"/>
      <c r="D69" s="53" t="s">
        <v>59</v>
      </c>
      <c r="E69" s="53" t="s">
        <v>36</v>
      </c>
      <c r="F69" s="317"/>
      <c r="G69" s="4"/>
    </row>
    <row r="70" spans="1:7" ht="13.5" customHeight="1" thickBot="1" x14ac:dyDescent="0.25">
      <c r="A70" s="57" t="s">
        <v>294</v>
      </c>
      <c r="B70" s="322"/>
      <c r="C70" s="322"/>
      <c r="D70" s="326" t="s">
        <v>1</v>
      </c>
      <c r="E70" s="323">
        <v>1</v>
      </c>
      <c r="F70" s="324">
        <f>F68*0.01</f>
        <v>73.478549077919993</v>
      </c>
      <c r="G70" s="4"/>
    </row>
    <row r="71" spans="1:7" ht="13.5" customHeight="1" thickBot="1" x14ac:dyDescent="0.25">
      <c r="A71" s="12" t="s">
        <v>295</v>
      </c>
      <c r="B71" s="250"/>
      <c r="C71" s="250"/>
      <c r="D71" s="251"/>
      <c r="E71" s="325"/>
      <c r="F71" s="62">
        <f>F68+F70</f>
        <v>7421.3334568699202</v>
      </c>
      <c r="G71" s="4"/>
    </row>
    <row r="72" spans="1:7" ht="13.5" customHeight="1" x14ac:dyDescent="0.2">
      <c r="A72" s="18"/>
      <c r="B72" s="18"/>
      <c r="C72" s="18"/>
      <c r="D72" s="19"/>
      <c r="E72" s="19"/>
      <c r="F72" s="321"/>
      <c r="G72" s="4"/>
    </row>
    <row r="73" spans="1:7" ht="13.5" customHeight="1" x14ac:dyDescent="0.2">
      <c r="A73" s="18"/>
      <c r="B73" s="18"/>
      <c r="C73" s="18"/>
      <c r="D73" s="19"/>
      <c r="E73" s="19"/>
      <c r="F73" s="321"/>
      <c r="G73" s="4"/>
    </row>
    <row r="74" spans="1:7" ht="13.5" customHeight="1" x14ac:dyDescent="0.2">
      <c r="A74" s="4"/>
      <c r="B74" s="4"/>
      <c r="C74" s="4"/>
      <c r="D74" s="190"/>
      <c r="E74" s="190"/>
      <c r="F74" s="190"/>
      <c r="G74" s="190"/>
    </row>
    <row r="75" spans="1:7" ht="13.5" customHeight="1" x14ac:dyDescent="0.2">
      <c r="A75" s="8" t="s">
        <v>39</v>
      </c>
      <c r="B75" s="4"/>
      <c r="C75" s="4"/>
      <c r="D75" s="190"/>
      <c r="E75" s="190"/>
      <c r="F75" s="190"/>
      <c r="G75" s="4"/>
    </row>
    <row r="76" spans="1:7" x14ac:dyDescent="0.2">
      <c r="A76" s="4"/>
      <c r="B76" s="4"/>
      <c r="C76" s="4"/>
      <c r="D76" s="190"/>
      <c r="E76" s="190"/>
      <c r="F76" s="190"/>
      <c r="G76" s="4"/>
    </row>
    <row r="77" spans="1:7" x14ac:dyDescent="0.2">
      <c r="A77" s="4" t="s">
        <v>180</v>
      </c>
      <c r="B77" s="4"/>
      <c r="C77" s="4"/>
      <c r="D77" s="190"/>
      <c r="E77" s="190"/>
      <c r="F77" s="190"/>
      <c r="G77" s="4"/>
    </row>
    <row r="78" spans="1:7" ht="13.5" thickBot="1" x14ac:dyDescent="0.25">
      <c r="A78" s="4"/>
      <c r="B78" s="4"/>
      <c r="C78" s="4"/>
      <c r="D78" s="190"/>
      <c r="E78" s="190"/>
      <c r="F78" s="190"/>
      <c r="G78" s="4"/>
    </row>
    <row r="79" spans="1:7" ht="24.75" thickBot="1" x14ac:dyDescent="0.25">
      <c r="A79" s="30" t="s">
        <v>58</v>
      </c>
      <c r="B79" s="31" t="s">
        <v>59</v>
      </c>
      <c r="C79" s="175" t="s">
        <v>235</v>
      </c>
      <c r="D79" s="32" t="s">
        <v>217</v>
      </c>
      <c r="E79" s="32" t="s">
        <v>60</v>
      </c>
      <c r="F79" s="33" t="s">
        <v>61</v>
      </c>
      <c r="G79" s="4"/>
    </row>
    <row r="80" spans="1:7" x14ac:dyDescent="0.2">
      <c r="A80" s="188" t="s">
        <v>62</v>
      </c>
      <c r="B80" s="189" t="s">
        <v>7</v>
      </c>
      <c r="C80" s="242">
        <v>12</v>
      </c>
      <c r="D80" s="229">
        <v>180</v>
      </c>
      <c r="E80" s="230">
        <f>IFERROR(D80/C80,0)</f>
        <v>15</v>
      </c>
      <c r="F80" s="190"/>
      <c r="G80" s="4"/>
    </row>
    <row r="81" spans="1:7" x14ac:dyDescent="0.2">
      <c r="A81" s="192" t="s">
        <v>27</v>
      </c>
      <c r="B81" s="194" t="s">
        <v>7</v>
      </c>
      <c r="C81" s="242">
        <v>2</v>
      </c>
      <c r="D81" s="229">
        <v>32</v>
      </c>
      <c r="E81" s="230">
        <f t="shared" ref="E81:E89" si="1">IFERROR(D81/C81,0)</f>
        <v>16</v>
      </c>
      <c r="F81" s="190"/>
      <c r="G81" s="4"/>
    </row>
    <row r="82" spans="1:7" x14ac:dyDescent="0.2">
      <c r="A82" s="192" t="s">
        <v>28</v>
      </c>
      <c r="B82" s="194" t="s">
        <v>7</v>
      </c>
      <c r="C82" s="242">
        <v>2</v>
      </c>
      <c r="D82" s="229">
        <v>22.5</v>
      </c>
      <c r="E82" s="230">
        <f t="shared" si="1"/>
        <v>11.25</v>
      </c>
      <c r="F82" s="190"/>
      <c r="G82" s="4"/>
    </row>
    <row r="83" spans="1:7" ht="11.25" customHeight="1" x14ac:dyDescent="0.2">
      <c r="A83" s="192" t="s">
        <v>29</v>
      </c>
      <c r="B83" s="194" t="s">
        <v>7</v>
      </c>
      <c r="C83" s="242">
        <v>6</v>
      </c>
      <c r="D83" s="229">
        <v>7</v>
      </c>
      <c r="E83" s="230">
        <f t="shared" si="1"/>
        <v>1.1666666666666667</v>
      </c>
      <c r="F83" s="190"/>
      <c r="G83" s="4"/>
    </row>
    <row r="84" spans="1:7" x14ac:dyDescent="0.2">
      <c r="A84" s="192" t="s">
        <v>64</v>
      </c>
      <c r="B84" s="194" t="s">
        <v>42</v>
      </c>
      <c r="C84" s="242">
        <v>6</v>
      </c>
      <c r="D84" s="229">
        <v>27</v>
      </c>
      <c r="E84" s="230">
        <f t="shared" si="1"/>
        <v>4.5</v>
      </c>
      <c r="F84" s="190"/>
      <c r="G84" s="4"/>
    </row>
    <row r="85" spans="1:7" x14ac:dyDescent="0.2">
      <c r="A85" s="192" t="s">
        <v>85</v>
      </c>
      <c r="B85" s="194" t="s">
        <v>42</v>
      </c>
      <c r="C85" s="242">
        <v>2</v>
      </c>
      <c r="D85" s="229">
        <v>18</v>
      </c>
      <c r="E85" s="230">
        <f t="shared" si="1"/>
        <v>9</v>
      </c>
      <c r="F85" s="190"/>
      <c r="G85" s="190"/>
    </row>
    <row r="86" spans="1:7" x14ac:dyDescent="0.2">
      <c r="A86" s="192" t="s">
        <v>63</v>
      </c>
      <c r="B86" s="194" t="s">
        <v>7</v>
      </c>
      <c r="C86" s="242">
        <v>6</v>
      </c>
      <c r="D86" s="229">
        <v>50</v>
      </c>
      <c r="E86" s="230">
        <f t="shared" si="1"/>
        <v>8.3333333333333339</v>
      </c>
      <c r="F86" s="190"/>
      <c r="G86" s="190"/>
    </row>
    <row r="87" spans="1:7" x14ac:dyDescent="0.2">
      <c r="A87" s="193" t="s">
        <v>8</v>
      </c>
      <c r="B87" s="246" t="s">
        <v>7</v>
      </c>
      <c r="C87" s="242">
        <v>12</v>
      </c>
      <c r="D87" s="229">
        <v>15</v>
      </c>
      <c r="E87" s="230">
        <f t="shared" si="1"/>
        <v>1.25</v>
      </c>
      <c r="F87" s="247"/>
      <c r="G87" s="247"/>
    </row>
    <row r="88" spans="1:7" x14ac:dyDescent="0.2">
      <c r="A88" s="192" t="s">
        <v>30</v>
      </c>
      <c r="B88" s="194" t="s">
        <v>42</v>
      </c>
      <c r="C88" s="242">
        <v>1</v>
      </c>
      <c r="D88" s="229">
        <v>7.27</v>
      </c>
      <c r="E88" s="230">
        <f t="shared" si="1"/>
        <v>7.27</v>
      </c>
      <c r="F88" s="190"/>
      <c r="G88" s="190"/>
    </row>
    <row r="89" spans="1:7" x14ac:dyDescent="0.2">
      <c r="A89" s="192" t="s">
        <v>57</v>
      </c>
      <c r="B89" s="194" t="s">
        <v>43</v>
      </c>
      <c r="C89" s="242">
        <v>3</v>
      </c>
      <c r="D89" s="229">
        <v>25</v>
      </c>
      <c r="E89" s="230">
        <f t="shared" si="1"/>
        <v>8.3333333333333339</v>
      </c>
      <c r="F89" s="190"/>
      <c r="G89" s="190"/>
    </row>
    <row r="90" spans="1:7" ht="13.5" customHeight="1" x14ac:dyDescent="0.2">
      <c r="A90" s="192" t="s">
        <v>181</v>
      </c>
      <c r="B90" s="194" t="s">
        <v>103</v>
      </c>
      <c r="C90" s="242">
        <v>1</v>
      </c>
      <c r="D90" s="229">
        <v>100</v>
      </c>
      <c r="E90" s="232">
        <f>C90*D90</f>
        <v>100</v>
      </c>
      <c r="F90" s="190"/>
      <c r="G90" s="190"/>
    </row>
    <row r="91" spans="1:7" ht="13.5" customHeight="1" thickBot="1" x14ac:dyDescent="0.25">
      <c r="A91" s="192" t="s">
        <v>4</v>
      </c>
      <c r="B91" s="194" t="s">
        <v>5</v>
      </c>
      <c r="C91" s="248">
        <f>E31</f>
        <v>4</v>
      </c>
      <c r="D91" s="249">
        <f>SUM(E80:E90)</f>
        <v>182.10333333333332</v>
      </c>
      <c r="E91" s="232">
        <f>C91*D91</f>
        <v>728.4133333333333</v>
      </c>
      <c r="F91" s="190"/>
      <c r="G91" s="190"/>
    </row>
    <row r="92" spans="1:7" ht="12.75" customHeight="1" thickBot="1" x14ac:dyDescent="0.25">
      <c r="A92" s="4"/>
      <c r="B92" s="4"/>
      <c r="C92" s="4"/>
      <c r="D92" s="236" t="s">
        <v>178</v>
      </c>
      <c r="E92" s="237">
        <f>B38</f>
        <v>0.42</v>
      </c>
      <c r="F92" s="62">
        <f>E91*E92</f>
        <v>305.93359999999996</v>
      </c>
      <c r="G92" s="190"/>
    </row>
    <row r="93" spans="1:7" ht="13.5" customHeight="1" x14ac:dyDescent="0.2">
      <c r="A93" s="4"/>
      <c r="B93" s="4"/>
      <c r="C93" s="4"/>
      <c r="D93" s="190"/>
      <c r="E93" s="190"/>
      <c r="F93" s="190"/>
      <c r="G93" s="190"/>
    </row>
    <row r="94" spans="1:7" ht="13.5" customHeight="1" x14ac:dyDescent="0.2">
      <c r="A94" s="4" t="s">
        <v>182</v>
      </c>
      <c r="B94" s="4"/>
      <c r="C94" s="4"/>
      <c r="D94" s="190"/>
      <c r="E94" s="190"/>
      <c r="F94" s="190"/>
      <c r="G94" s="190"/>
    </row>
    <row r="95" spans="1:7" ht="13.5" customHeight="1" thickBot="1" x14ac:dyDescent="0.25">
      <c r="A95" s="4"/>
      <c r="B95" s="4"/>
      <c r="C95" s="4"/>
      <c r="D95" s="190"/>
      <c r="E95" s="190"/>
      <c r="F95" s="190"/>
      <c r="G95" s="190"/>
    </row>
    <row r="96" spans="1:7" ht="24.75" thickBot="1" x14ac:dyDescent="0.25">
      <c r="A96" s="30" t="s">
        <v>58</v>
      </c>
      <c r="B96" s="31" t="s">
        <v>59</v>
      </c>
      <c r="C96" s="175" t="s">
        <v>235</v>
      </c>
      <c r="D96" s="32" t="s">
        <v>217</v>
      </c>
      <c r="E96" s="32" t="s">
        <v>60</v>
      </c>
      <c r="F96" s="33" t="s">
        <v>61</v>
      </c>
      <c r="G96" s="190"/>
    </row>
    <row r="97" spans="1:7" x14ac:dyDescent="0.2">
      <c r="A97" s="188" t="s">
        <v>62</v>
      </c>
      <c r="B97" s="189" t="s">
        <v>7</v>
      </c>
      <c r="C97" s="242">
        <v>12</v>
      </c>
      <c r="D97" s="229">
        <f>+D80</f>
        <v>180</v>
      </c>
      <c r="E97" s="230">
        <f t="shared" ref="E97:E102" si="2">IFERROR(D97/C97,0)</f>
        <v>15</v>
      </c>
      <c r="F97" s="190"/>
      <c r="G97" s="190"/>
    </row>
    <row r="98" spans="1:7" x14ac:dyDescent="0.2">
      <c r="A98" s="192" t="s">
        <v>27</v>
      </c>
      <c r="B98" s="194" t="s">
        <v>7</v>
      </c>
      <c r="C98" s="242">
        <v>2</v>
      </c>
      <c r="D98" s="249">
        <f>+D81</f>
        <v>32</v>
      </c>
      <c r="E98" s="230">
        <f t="shared" si="2"/>
        <v>16</v>
      </c>
      <c r="F98" s="190"/>
      <c r="G98" s="190"/>
    </row>
    <row r="99" spans="1:7" ht="11.25" customHeight="1" x14ac:dyDescent="0.2">
      <c r="A99" s="192" t="s">
        <v>28</v>
      </c>
      <c r="B99" s="194" t="s">
        <v>7</v>
      </c>
      <c r="C99" s="242">
        <v>2</v>
      </c>
      <c r="D99" s="249">
        <f>+D82</f>
        <v>22.5</v>
      </c>
      <c r="E99" s="230">
        <f t="shared" si="2"/>
        <v>11.25</v>
      </c>
      <c r="F99" s="190"/>
      <c r="G99" s="190"/>
    </row>
    <row r="100" spans="1:7" ht="13.9" customHeight="1" x14ac:dyDescent="0.2">
      <c r="A100" s="192" t="s">
        <v>64</v>
      </c>
      <c r="B100" s="194" t="s">
        <v>42</v>
      </c>
      <c r="C100" s="242">
        <v>6</v>
      </c>
      <c r="D100" s="249">
        <f>+D84</f>
        <v>27</v>
      </c>
      <c r="E100" s="230">
        <f t="shared" si="2"/>
        <v>4.5</v>
      </c>
      <c r="F100" s="190"/>
      <c r="G100" s="190"/>
    </row>
    <row r="101" spans="1:7" ht="11.25" customHeight="1" x14ac:dyDescent="0.2">
      <c r="A101" s="192" t="s">
        <v>63</v>
      </c>
      <c r="B101" s="194" t="s">
        <v>7</v>
      </c>
      <c r="C101" s="242">
        <v>6</v>
      </c>
      <c r="D101" s="249">
        <f>+D86</f>
        <v>50</v>
      </c>
      <c r="E101" s="230">
        <f t="shared" si="2"/>
        <v>8.3333333333333339</v>
      </c>
      <c r="F101" s="190"/>
      <c r="G101" s="4"/>
    </row>
    <row r="102" spans="1:7" ht="12.75" customHeight="1" x14ac:dyDescent="0.2">
      <c r="A102" s="192" t="s">
        <v>57</v>
      </c>
      <c r="B102" s="194" t="s">
        <v>43</v>
      </c>
      <c r="C102" s="242">
        <v>3</v>
      </c>
      <c r="D102" s="249">
        <f>+D89</f>
        <v>25</v>
      </c>
      <c r="E102" s="230">
        <f t="shared" si="2"/>
        <v>8.3333333333333339</v>
      </c>
      <c r="F102" s="190"/>
      <c r="G102" s="4"/>
    </row>
    <row r="103" spans="1:7" x14ac:dyDescent="0.2">
      <c r="A103" s="192" t="s">
        <v>181</v>
      </c>
      <c r="B103" s="194" t="s">
        <v>103</v>
      </c>
      <c r="C103" s="242">
        <v>1</v>
      </c>
      <c r="D103" s="229">
        <v>50</v>
      </c>
      <c r="E103" s="232">
        <f>C103*D103</f>
        <v>50</v>
      </c>
      <c r="F103" s="190"/>
      <c r="G103" s="4"/>
    </row>
    <row r="104" spans="1:7" ht="13.15" customHeight="1" thickBot="1" x14ac:dyDescent="0.25">
      <c r="A104" s="192" t="s">
        <v>4</v>
      </c>
      <c r="B104" s="194" t="s">
        <v>5</v>
      </c>
      <c r="C104" s="248">
        <f>E32</f>
        <v>1</v>
      </c>
      <c r="D104" s="249">
        <f>+SUM(E97:E103)</f>
        <v>113.41666666666667</v>
      </c>
      <c r="E104" s="232">
        <f>C104*D104</f>
        <v>113.41666666666667</v>
      </c>
      <c r="F104" s="190"/>
      <c r="G104" s="4"/>
    </row>
    <row r="105" spans="1:7" ht="13.5" thickBot="1" x14ac:dyDescent="0.25">
      <c r="A105" s="4"/>
      <c r="B105" s="4"/>
      <c r="C105" s="4"/>
      <c r="D105" s="236" t="s">
        <v>178</v>
      </c>
      <c r="E105" s="237">
        <f>B38</f>
        <v>0.42</v>
      </c>
      <c r="F105" s="62">
        <f>E104*E105</f>
        <v>47.634999999999998</v>
      </c>
      <c r="G105" s="4"/>
    </row>
    <row r="106" spans="1:7" ht="13.15" customHeight="1" thickBot="1" x14ac:dyDescent="0.25">
      <c r="A106" s="4"/>
      <c r="B106" s="4"/>
      <c r="C106" s="4"/>
      <c r="D106" s="190"/>
      <c r="E106" s="190"/>
      <c r="F106" s="190"/>
      <c r="G106" s="4"/>
    </row>
    <row r="107" spans="1:7" ht="13.9" customHeight="1" thickBot="1" x14ac:dyDescent="0.25">
      <c r="A107" s="12" t="s">
        <v>183</v>
      </c>
      <c r="B107" s="250"/>
      <c r="C107" s="250"/>
      <c r="D107" s="251"/>
      <c r="E107" s="252"/>
      <c r="F107" s="10">
        <f>+F92+F105</f>
        <v>353.56859999999995</v>
      </c>
      <c r="G107" s="4"/>
    </row>
    <row r="108" spans="1:7" ht="13.9" customHeight="1" x14ac:dyDescent="0.2">
      <c r="A108" s="18"/>
      <c r="B108" s="69"/>
      <c r="C108" s="69"/>
      <c r="D108" s="53" t="s">
        <v>59</v>
      </c>
      <c r="E108" s="53" t="s">
        <v>36</v>
      </c>
      <c r="F108" s="317"/>
      <c r="G108" s="4"/>
    </row>
    <row r="109" spans="1:7" ht="13.9" customHeight="1" thickBot="1" x14ac:dyDescent="0.25">
      <c r="A109" s="47" t="s">
        <v>294</v>
      </c>
      <c r="B109" s="192"/>
      <c r="C109" s="192"/>
      <c r="D109" s="237" t="s">
        <v>1</v>
      </c>
      <c r="E109" s="319">
        <v>1</v>
      </c>
      <c r="F109" s="318">
        <f>F107*0.01</f>
        <v>3.5356859999999997</v>
      </c>
      <c r="G109" s="4"/>
    </row>
    <row r="110" spans="1:7" ht="13.9" customHeight="1" thickBot="1" x14ac:dyDescent="0.25">
      <c r="A110" s="12" t="s">
        <v>295</v>
      </c>
      <c r="B110" s="69"/>
      <c r="C110" s="69"/>
      <c r="D110" s="221"/>
      <c r="E110" s="320"/>
      <c r="F110" s="317">
        <f>F107+F109</f>
        <v>357.10428599999995</v>
      </c>
      <c r="G110" s="4"/>
    </row>
    <row r="111" spans="1:7" ht="13.15" customHeight="1" x14ac:dyDescent="0.2">
      <c r="A111" s="4"/>
      <c r="B111" s="4"/>
      <c r="C111" s="4"/>
      <c r="D111" s="190"/>
      <c r="E111" s="190"/>
      <c r="F111" s="190"/>
      <c r="G111" s="4"/>
    </row>
    <row r="112" spans="1:7" x14ac:dyDescent="0.2">
      <c r="A112" s="8" t="s">
        <v>48</v>
      </c>
      <c r="B112" s="4"/>
      <c r="C112" s="4"/>
      <c r="D112" s="190"/>
      <c r="E112" s="190"/>
      <c r="F112" s="190"/>
      <c r="G112" s="4"/>
    </row>
    <row r="113" spans="1:7" s="1" customFormat="1" x14ac:dyDescent="0.2">
      <c r="A113" s="4"/>
      <c r="B113" s="50"/>
      <c r="C113" s="4"/>
      <c r="D113" s="190"/>
      <c r="E113" s="190"/>
      <c r="F113" s="190"/>
      <c r="G113" s="4"/>
    </row>
    <row r="114" spans="1:7" x14ac:dyDescent="0.2">
      <c r="A114" s="4" t="s">
        <v>248</v>
      </c>
      <c r="B114" s="4"/>
      <c r="C114" s="4"/>
      <c r="D114" s="190"/>
      <c r="E114" s="190"/>
      <c r="F114" s="190"/>
      <c r="G114" s="4"/>
    </row>
    <row r="115" spans="1:7" ht="13.15" customHeight="1" x14ac:dyDescent="0.2">
      <c r="A115" s="4"/>
      <c r="B115" s="4"/>
      <c r="C115" s="4"/>
      <c r="D115" s="190"/>
      <c r="E115" s="190"/>
      <c r="F115" s="190"/>
      <c r="G115" s="4"/>
    </row>
    <row r="116" spans="1:7" ht="13.5" thickBot="1" x14ac:dyDescent="0.25">
      <c r="A116" s="50" t="s">
        <v>40</v>
      </c>
      <c r="B116" s="4"/>
      <c r="C116" s="4"/>
      <c r="D116" s="190"/>
      <c r="E116" s="190"/>
      <c r="F116" s="190"/>
      <c r="G116" s="4"/>
    </row>
    <row r="117" spans="1:7" ht="13.5" thickBot="1" x14ac:dyDescent="0.25">
      <c r="A117" s="30" t="s">
        <v>58</v>
      </c>
      <c r="B117" s="31" t="s">
        <v>59</v>
      </c>
      <c r="C117" s="31" t="s">
        <v>36</v>
      </c>
      <c r="D117" s="32" t="s">
        <v>217</v>
      </c>
      <c r="E117" s="32" t="s">
        <v>60</v>
      </c>
      <c r="F117" s="33" t="s">
        <v>61</v>
      </c>
      <c r="G117" s="4"/>
    </row>
    <row r="118" spans="1:7" x14ac:dyDescent="0.2">
      <c r="A118" s="188" t="s">
        <v>91</v>
      </c>
      <c r="B118" s="228" t="s">
        <v>7</v>
      </c>
      <c r="C118" s="228">
        <v>1</v>
      </c>
      <c r="D118" s="229">
        <v>255000</v>
      </c>
      <c r="E118" s="230">
        <f>C118*D118</f>
        <v>255000</v>
      </c>
      <c r="F118" s="190"/>
      <c r="G118" s="4"/>
    </row>
    <row r="119" spans="1:7" ht="11.25" customHeight="1" x14ac:dyDescent="0.2">
      <c r="A119" s="192" t="s">
        <v>88</v>
      </c>
      <c r="B119" s="235" t="s">
        <v>89</v>
      </c>
      <c r="C119" s="235">
        <v>10</v>
      </c>
      <c r="D119" s="231"/>
      <c r="E119" s="232"/>
      <c r="F119" s="190"/>
      <c r="G119" s="4"/>
    </row>
    <row r="120" spans="1:7" ht="13.9" customHeight="1" x14ac:dyDescent="0.2">
      <c r="A120" s="192" t="s">
        <v>195</v>
      </c>
      <c r="B120" s="235" t="s">
        <v>89</v>
      </c>
      <c r="C120" s="235">
        <v>0</v>
      </c>
      <c r="D120" s="231"/>
      <c r="E120" s="232"/>
      <c r="F120" s="253"/>
      <c r="G120" s="190"/>
    </row>
    <row r="121" spans="1:7" ht="11.25" customHeight="1" x14ac:dyDescent="0.2">
      <c r="A121" s="192" t="s">
        <v>90</v>
      </c>
      <c r="B121" s="194" t="s">
        <v>1</v>
      </c>
      <c r="C121" s="231">
        <f>IFERROR(VLOOKUP(C119,'[1]5. Depreciação'!$A$3:$B$17,2,FALSE),0)</f>
        <v>65.180000000000007</v>
      </c>
      <c r="D121" s="232">
        <f>E118</f>
        <v>255000</v>
      </c>
      <c r="E121" s="232">
        <f>C121*D121/100</f>
        <v>166209.00000000003</v>
      </c>
      <c r="F121" s="190"/>
      <c r="G121" s="190"/>
    </row>
    <row r="122" spans="1:7" ht="13.5" thickBot="1" x14ac:dyDescent="0.25">
      <c r="A122" s="183" t="s">
        <v>44</v>
      </c>
      <c r="B122" s="184" t="s">
        <v>6</v>
      </c>
      <c r="C122" s="184">
        <f>C119*12</f>
        <v>120</v>
      </c>
      <c r="D122" s="185">
        <f>IF(C120&lt;=C119,E121,0)</f>
        <v>166209.00000000003</v>
      </c>
      <c r="E122" s="185">
        <f>IFERROR(D122/C122,0)</f>
        <v>1385.0750000000003</v>
      </c>
      <c r="F122" s="190"/>
      <c r="G122" s="190"/>
    </row>
    <row r="123" spans="1:7" ht="13.5" thickTop="1" x14ac:dyDescent="0.2">
      <c r="A123" s="188" t="s">
        <v>249</v>
      </c>
      <c r="B123" s="189" t="s">
        <v>7</v>
      </c>
      <c r="C123" s="228">
        <f>C118</f>
        <v>1</v>
      </c>
      <c r="D123" s="229">
        <v>80000</v>
      </c>
      <c r="E123" s="230">
        <f>C123*D123</f>
        <v>80000</v>
      </c>
      <c r="F123" s="190"/>
      <c r="G123" s="4"/>
    </row>
    <row r="124" spans="1:7" x14ac:dyDescent="0.2">
      <c r="A124" s="192" t="s">
        <v>250</v>
      </c>
      <c r="B124" s="194" t="s">
        <v>89</v>
      </c>
      <c r="C124" s="235">
        <v>10</v>
      </c>
      <c r="D124" s="231"/>
      <c r="E124" s="232"/>
      <c r="F124" s="190"/>
      <c r="G124" s="190"/>
    </row>
    <row r="125" spans="1:7" x14ac:dyDescent="0.2">
      <c r="A125" s="192" t="s">
        <v>251</v>
      </c>
      <c r="B125" s="194" t="s">
        <v>89</v>
      </c>
      <c r="C125" s="235">
        <v>0</v>
      </c>
      <c r="D125" s="231"/>
      <c r="E125" s="232"/>
      <c r="F125" s="253"/>
      <c r="G125" s="190"/>
    </row>
    <row r="126" spans="1:7" x14ac:dyDescent="0.2">
      <c r="A126" s="192" t="s">
        <v>252</v>
      </c>
      <c r="B126" s="194" t="s">
        <v>1</v>
      </c>
      <c r="C126" s="254">
        <v>55.68</v>
      </c>
      <c r="D126" s="232">
        <f>E123</f>
        <v>80000</v>
      </c>
      <c r="E126" s="232">
        <f>C126*D126/100</f>
        <v>44544</v>
      </c>
      <c r="F126" s="190"/>
      <c r="G126" s="190"/>
    </row>
    <row r="127" spans="1:7" x14ac:dyDescent="0.2">
      <c r="A127" s="47" t="s">
        <v>253</v>
      </c>
      <c r="B127" s="48" t="s">
        <v>6</v>
      </c>
      <c r="C127" s="48">
        <f>C124*12</f>
        <v>120</v>
      </c>
      <c r="D127" s="49">
        <f>IF(C125&lt;=C124,E126,0)</f>
        <v>44544</v>
      </c>
      <c r="E127" s="49">
        <f>IFERROR(D127/C127,0)</f>
        <v>371.2</v>
      </c>
      <c r="F127" s="190"/>
      <c r="G127" s="190"/>
    </row>
    <row r="128" spans="1:7" x14ac:dyDescent="0.2">
      <c r="A128" s="57" t="s">
        <v>238</v>
      </c>
      <c r="B128" s="58"/>
      <c r="C128" s="58"/>
      <c r="D128" s="59"/>
      <c r="E128" s="60">
        <f>E122+E127</f>
        <v>1756.2750000000003</v>
      </c>
      <c r="F128" s="190"/>
      <c r="G128" s="190"/>
    </row>
    <row r="129" spans="1:10" ht="13.5" thickBot="1" x14ac:dyDescent="0.25">
      <c r="A129" s="47" t="s">
        <v>239</v>
      </c>
      <c r="B129" s="48" t="s">
        <v>7</v>
      </c>
      <c r="C129" s="255">
        <v>1</v>
      </c>
      <c r="D129" s="49">
        <f>E128</f>
        <v>1756.2750000000003</v>
      </c>
      <c r="E129" s="60">
        <f>C129*D129</f>
        <v>1756.2750000000003</v>
      </c>
      <c r="F129" s="190"/>
      <c r="G129" s="190"/>
    </row>
    <row r="130" spans="1:10" ht="13.5" thickBot="1" x14ac:dyDescent="0.25">
      <c r="A130" s="178"/>
      <c r="B130" s="178"/>
      <c r="C130" s="178"/>
      <c r="D130" s="236" t="s">
        <v>178</v>
      </c>
      <c r="E130" s="237">
        <f>B38</f>
        <v>0.42</v>
      </c>
      <c r="F130" s="10">
        <f>E129*E130</f>
        <v>737.63550000000009</v>
      </c>
      <c r="G130" s="190"/>
    </row>
    <row r="131" spans="1:10" x14ac:dyDescent="0.2">
      <c r="A131" s="4"/>
      <c r="B131" s="4"/>
      <c r="C131" s="4"/>
      <c r="D131" s="190"/>
      <c r="E131" s="190"/>
      <c r="F131" s="190"/>
      <c r="G131" s="190"/>
    </row>
    <row r="132" spans="1:10" ht="11.25" customHeight="1" thickBot="1" x14ac:dyDescent="0.25">
      <c r="A132" s="50" t="s">
        <v>95</v>
      </c>
      <c r="B132" s="4"/>
      <c r="C132" s="4"/>
      <c r="D132" s="190"/>
      <c r="E132" s="190"/>
      <c r="F132" s="190"/>
      <c r="G132" s="190"/>
    </row>
    <row r="133" spans="1:10" ht="13.5" thickBot="1" x14ac:dyDescent="0.25">
      <c r="A133" s="52" t="s">
        <v>58</v>
      </c>
      <c r="B133" s="53" t="s">
        <v>59</v>
      </c>
      <c r="C133" s="256" t="s">
        <v>36</v>
      </c>
      <c r="D133" s="53" t="s">
        <v>217</v>
      </c>
      <c r="E133" s="54" t="s">
        <v>60</v>
      </c>
      <c r="F133" s="33" t="s">
        <v>61</v>
      </c>
      <c r="G133" s="190"/>
    </row>
    <row r="134" spans="1:10" ht="11.25" customHeight="1" x14ac:dyDescent="0.2">
      <c r="A134" s="192" t="s">
        <v>94</v>
      </c>
      <c r="B134" s="194" t="s">
        <v>7</v>
      </c>
      <c r="C134" s="228">
        <v>1</v>
      </c>
      <c r="D134" s="232">
        <f>D118</f>
        <v>255000</v>
      </c>
      <c r="E134" s="232">
        <f>C134*D134</f>
        <v>255000</v>
      </c>
      <c r="F134" s="253"/>
      <c r="G134" s="190"/>
    </row>
    <row r="135" spans="1:10" x14ac:dyDescent="0.2">
      <c r="A135" s="192" t="s">
        <v>197</v>
      </c>
      <c r="B135" s="194" t="s">
        <v>1</v>
      </c>
      <c r="C135" s="255">
        <v>3.5</v>
      </c>
      <c r="D135" s="232"/>
      <c r="E135" s="232"/>
      <c r="F135" s="253"/>
      <c r="G135" s="190"/>
    </row>
    <row r="136" spans="1:10" ht="11.25" customHeight="1" x14ac:dyDescent="0.2">
      <c r="A136" s="192" t="s">
        <v>196</v>
      </c>
      <c r="B136" s="194" t="s">
        <v>31</v>
      </c>
      <c r="C136" s="257">
        <f>IFERROR(IF(C120&lt;=C119,E118-(C121/(100*C119)*C120)*E118,E118-E121),0)</f>
        <v>255000</v>
      </c>
      <c r="D136" s="232"/>
      <c r="E136" s="232"/>
      <c r="F136" s="253"/>
      <c r="G136" s="190"/>
    </row>
    <row r="137" spans="1:10" x14ac:dyDescent="0.2">
      <c r="A137" s="192" t="s">
        <v>97</v>
      </c>
      <c r="B137" s="194" t="s">
        <v>31</v>
      </c>
      <c r="C137" s="231">
        <f>IFERROR(IF(C120&gt;=C119,C136,((((C136)-(E118-E121))*(((C119-C120)+1)/(2*(C119-C120))))+(E118-E121))),0)</f>
        <v>180205.95</v>
      </c>
      <c r="D137" s="232"/>
      <c r="E137" s="232"/>
      <c r="F137" s="253"/>
      <c r="G137" s="190"/>
    </row>
    <row r="138" spans="1:10" ht="11.25" customHeight="1" thickBot="1" x14ac:dyDescent="0.25">
      <c r="A138" s="183" t="s">
        <v>98</v>
      </c>
      <c r="B138" s="184" t="s">
        <v>31</v>
      </c>
      <c r="C138" s="184"/>
      <c r="D138" s="186">
        <f>C135*C137/12/100</f>
        <v>525.60068750000005</v>
      </c>
      <c r="E138" s="185">
        <f>D138</f>
        <v>525.60068750000005</v>
      </c>
      <c r="F138" s="253"/>
      <c r="G138" s="190"/>
    </row>
    <row r="139" spans="1:10" ht="13.5" thickTop="1" x14ac:dyDescent="0.2">
      <c r="A139" s="188" t="s">
        <v>254</v>
      </c>
      <c r="B139" s="189" t="s">
        <v>7</v>
      </c>
      <c r="C139" s="189">
        <f>C123</f>
        <v>1</v>
      </c>
      <c r="D139" s="230">
        <f>D123</f>
        <v>80000</v>
      </c>
      <c r="E139" s="230">
        <f>C139*D139</f>
        <v>80000</v>
      </c>
      <c r="F139" s="253"/>
      <c r="G139" s="190"/>
    </row>
    <row r="140" spans="1:10" x14ac:dyDescent="0.2">
      <c r="A140" s="192" t="s">
        <v>197</v>
      </c>
      <c r="B140" s="194" t="s">
        <v>1</v>
      </c>
      <c r="C140" s="235">
        <f>C135</f>
        <v>3.5</v>
      </c>
      <c r="D140" s="232"/>
      <c r="E140" s="232"/>
      <c r="F140" s="253"/>
      <c r="G140" s="190"/>
    </row>
    <row r="141" spans="1:10" x14ac:dyDescent="0.2">
      <c r="A141" s="192" t="s">
        <v>255</v>
      </c>
      <c r="B141" s="194" t="s">
        <v>31</v>
      </c>
      <c r="C141" s="257">
        <f>IFERROR(IF(C125&lt;=C124,E123-(C126/(100*C124)*C125)*E123,E123-E126),0)</f>
        <v>80000</v>
      </c>
      <c r="D141" s="232"/>
      <c r="E141" s="232"/>
      <c r="F141" s="253"/>
      <c r="G141" s="190"/>
    </row>
    <row r="142" spans="1:10" x14ac:dyDescent="0.2">
      <c r="A142" s="192" t="s">
        <v>256</v>
      </c>
      <c r="B142" s="194" t="s">
        <v>31</v>
      </c>
      <c r="C142" s="231">
        <f>IFERROR(IF(C125&gt;=C124,C141,((((C141)-(E123-E126))*(((C124-C125)+1)/(2*(C124-C125))))+(E123-E126))),0)</f>
        <v>59955.199999999997</v>
      </c>
      <c r="D142" s="232"/>
      <c r="E142" s="232"/>
      <c r="F142" s="253"/>
      <c r="G142" s="190"/>
    </row>
    <row r="143" spans="1:10" x14ac:dyDescent="0.2">
      <c r="A143" s="47" t="s">
        <v>257</v>
      </c>
      <c r="B143" s="48" t="s">
        <v>31</v>
      </c>
      <c r="C143" s="48"/>
      <c r="D143" s="55">
        <f>C140*C142/12/100</f>
        <v>174.86933333333332</v>
      </c>
      <c r="E143" s="49">
        <f>D143</f>
        <v>174.86933333333332</v>
      </c>
      <c r="F143" s="253"/>
      <c r="G143" s="190"/>
      <c r="I143" s="46"/>
      <c r="J143" s="46"/>
    </row>
    <row r="144" spans="1:10" x14ac:dyDescent="0.2">
      <c r="A144" s="57" t="s">
        <v>238</v>
      </c>
      <c r="B144" s="58"/>
      <c r="C144" s="58"/>
      <c r="D144" s="59"/>
      <c r="E144" s="60">
        <f>E138+E143</f>
        <v>700.47002083333336</v>
      </c>
      <c r="F144" s="253"/>
      <c r="G144" s="190"/>
    </row>
    <row r="145" spans="1:10" ht="13.5" thickBot="1" x14ac:dyDescent="0.25">
      <c r="A145" s="47" t="s">
        <v>239</v>
      </c>
      <c r="B145" s="48" t="s">
        <v>7</v>
      </c>
      <c r="C145" s="235">
        <f>C129</f>
        <v>1</v>
      </c>
      <c r="D145" s="49">
        <f>E144</f>
        <v>700.47002083333336</v>
      </c>
      <c r="E145" s="60">
        <f>C145*D145</f>
        <v>700.47002083333336</v>
      </c>
      <c r="F145" s="253"/>
      <c r="G145" s="190"/>
    </row>
    <row r="146" spans="1:10" ht="13.5" thickBot="1" x14ac:dyDescent="0.25">
      <c r="A146" s="4"/>
      <c r="B146" s="4"/>
      <c r="C146" s="258"/>
      <c r="D146" s="236" t="s">
        <v>178</v>
      </c>
      <c r="E146" s="237">
        <f>B38</f>
        <v>0.42</v>
      </c>
      <c r="F146" s="10">
        <f>E145*E146</f>
        <v>294.19740875000002</v>
      </c>
      <c r="G146" s="190"/>
    </row>
    <row r="147" spans="1:10" x14ac:dyDescent="0.2">
      <c r="A147" s="4"/>
      <c r="B147" s="4"/>
      <c r="C147" s="4"/>
      <c r="D147" s="190"/>
      <c r="E147" s="190"/>
      <c r="F147" s="190"/>
      <c r="G147" s="190"/>
    </row>
    <row r="148" spans="1:10" ht="13.5" thickBot="1" x14ac:dyDescent="0.25">
      <c r="A148" s="4" t="s">
        <v>45</v>
      </c>
      <c r="B148" s="4"/>
      <c r="C148" s="4"/>
      <c r="D148" s="190"/>
      <c r="E148" s="190"/>
      <c r="F148" s="190"/>
      <c r="G148" s="190"/>
      <c r="I148" s="46"/>
      <c r="J148" s="46"/>
    </row>
    <row r="149" spans="1:10" ht="13.5" thickBot="1" x14ac:dyDescent="0.25">
      <c r="A149" s="30" t="s">
        <v>58</v>
      </c>
      <c r="B149" s="31" t="s">
        <v>59</v>
      </c>
      <c r="C149" s="31" t="s">
        <v>36</v>
      </c>
      <c r="D149" s="32" t="s">
        <v>217</v>
      </c>
      <c r="E149" s="32" t="s">
        <v>60</v>
      </c>
      <c r="F149" s="33" t="s">
        <v>61</v>
      </c>
      <c r="G149" s="190"/>
    </row>
    <row r="150" spans="1:10" x14ac:dyDescent="0.2">
      <c r="A150" s="188" t="s">
        <v>9</v>
      </c>
      <c r="B150" s="189" t="s">
        <v>7</v>
      </c>
      <c r="C150" s="230">
        <f>C129</f>
        <v>1</v>
      </c>
      <c r="D150" s="229">
        <v>2150</v>
      </c>
      <c r="E150" s="230">
        <f>C150*D150</f>
        <v>2150</v>
      </c>
      <c r="F150" s="190"/>
      <c r="G150" s="190"/>
    </row>
    <row r="151" spans="1:10" x14ac:dyDescent="0.2">
      <c r="A151" s="192" t="s">
        <v>177</v>
      </c>
      <c r="B151" s="194" t="s">
        <v>7</v>
      </c>
      <c r="C151" s="230">
        <f>C129</f>
        <v>1</v>
      </c>
      <c r="D151" s="249">
        <v>297.64</v>
      </c>
      <c r="E151" s="232">
        <f>C151*D151</f>
        <v>297.64</v>
      </c>
      <c r="F151" s="190"/>
      <c r="G151" s="190"/>
    </row>
    <row r="152" spans="1:10" x14ac:dyDescent="0.2">
      <c r="A152" s="192" t="s">
        <v>10</v>
      </c>
      <c r="B152" s="194" t="s">
        <v>7</v>
      </c>
      <c r="C152" s="230">
        <f>C129</f>
        <v>1</v>
      </c>
      <c r="D152" s="249">
        <v>2799</v>
      </c>
      <c r="E152" s="232">
        <f>C152*D152</f>
        <v>2799</v>
      </c>
      <c r="F152" s="16"/>
      <c r="G152" s="190"/>
    </row>
    <row r="153" spans="1:10" ht="13.5" thickBot="1" x14ac:dyDescent="0.25">
      <c r="A153" s="47" t="s">
        <v>11</v>
      </c>
      <c r="B153" s="48" t="s">
        <v>6</v>
      </c>
      <c r="C153" s="48">
        <v>12</v>
      </c>
      <c r="D153" s="49">
        <f>SUM(E150:E152)</f>
        <v>5246.6399999999994</v>
      </c>
      <c r="E153" s="49">
        <f>D153/C153</f>
        <v>437.21999999999997</v>
      </c>
      <c r="F153" s="190"/>
      <c r="G153" s="190"/>
    </row>
    <row r="154" spans="1:10" ht="11.25" customHeight="1" thickBot="1" x14ac:dyDescent="0.25">
      <c r="A154" s="4"/>
      <c r="B154" s="4"/>
      <c r="C154" s="4"/>
      <c r="D154" s="236" t="s">
        <v>178</v>
      </c>
      <c r="E154" s="237">
        <f>B38</f>
        <v>0.42</v>
      </c>
      <c r="F154" s="62">
        <f>E153*E154</f>
        <v>183.63239999999999</v>
      </c>
      <c r="G154" s="190"/>
    </row>
    <row r="155" spans="1:10" x14ac:dyDescent="0.2">
      <c r="A155" s="4"/>
      <c r="B155" s="4"/>
      <c r="C155" s="4"/>
      <c r="D155" s="190"/>
      <c r="E155" s="190"/>
      <c r="F155" s="190"/>
      <c r="G155" s="190"/>
    </row>
    <row r="156" spans="1:10" x14ac:dyDescent="0.2">
      <c r="A156" s="4" t="s">
        <v>46</v>
      </c>
      <c r="B156" s="332" t="s">
        <v>264</v>
      </c>
      <c r="C156" s="332"/>
      <c r="D156" s="332"/>
      <c r="E156" s="332"/>
      <c r="F156" s="332"/>
      <c r="G156" s="190"/>
      <c r="I156" s="46"/>
      <c r="J156" s="46"/>
    </row>
    <row r="157" spans="1:10" x14ac:dyDescent="0.2">
      <c r="A157" s="4"/>
      <c r="B157" s="259"/>
      <c r="C157" s="258" t="s">
        <v>299</v>
      </c>
      <c r="D157" s="330">
        <v>51</v>
      </c>
      <c r="E157" s="190"/>
      <c r="F157" s="190"/>
      <c r="G157" s="190"/>
      <c r="I157" s="46"/>
      <c r="J157" s="46"/>
    </row>
    <row r="158" spans="1:10" x14ac:dyDescent="0.2">
      <c r="A158" s="47" t="s">
        <v>100</v>
      </c>
      <c r="B158" s="260">
        <v>1350</v>
      </c>
      <c r="C158" s="258" t="s">
        <v>300</v>
      </c>
      <c r="D158" s="330">
        <v>39</v>
      </c>
      <c r="E158" s="190"/>
      <c r="F158" s="190"/>
      <c r="G158" s="190"/>
      <c r="I158" s="46"/>
      <c r="J158" s="46"/>
    </row>
    <row r="159" spans="1:10" ht="13.5" thickBot="1" x14ac:dyDescent="0.25">
      <c r="A159" s="4"/>
      <c r="B159" s="259"/>
      <c r="C159" s="4"/>
      <c r="D159" s="190"/>
      <c r="E159" s="190"/>
      <c r="F159" s="190"/>
      <c r="G159" s="190"/>
      <c r="I159" s="46"/>
      <c r="J159" s="46"/>
    </row>
    <row r="160" spans="1:10" ht="13.5" thickBot="1" x14ac:dyDescent="0.25">
      <c r="A160" s="30" t="s">
        <v>58</v>
      </c>
      <c r="B160" s="31" t="s">
        <v>59</v>
      </c>
      <c r="C160" s="31" t="s">
        <v>237</v>
      </c>
      <c r="D160" s="32" t="s">
        <v>217</v>
      </c>
      <c r="E160" s="32" t="s">
        <v>60</v>
      </c>
      <c r="F160" s="33" t="s">
        <v>61</v>
      </c>
      <c r="G160" s="190"/>
      <c r="I160" s="46"/>
      <c r="J160" s="46"/>
    </row>
    <row r="161" spans="1:19" x14ac:dyDescent="0.2">
      <c r="A161" s="188" t="s">
        <v>12</v>
      </c>
      <c r="B161" s="189" t="s">
        <v>13</v>
      </c>
      <c r="C161" s="261">
        <v>2</v>
      </c>
      <c r="D161" s="262">
        <v>3.3</v>
      </c>
      <c r="E161" s="230">
        <f>D161/C161</f>
        <v>1.65</v>
      </c>
      <c r="F161" s="190"/>
      <c r="G161" s="190"/>
      <c r="I161" s="46"/>
      <c r="J161" s="46"/>
    </row>
    <row r="162" spans="1:19" x14ac:dyDescent="0.2">
      <c r="A162" s="192" t="s">
        <v>14</v>
      </c>
      <c r="B162" s="194" t="s">
        <v>15</v>
      </c>
      <c r="C162" s="244">
        <f>B158</f>
        <v>1350</v>
      </c>
      <c r="D162" s="262">
        <f>E161</f>
        <v>1.65</v>
      </c>
      <c r="E162" s="232">
        <f>IFERROR(C162*D162,"-")</f>
        <v>2227.5</v>
      </c>
      <c r="F162" s="190"/>
      <c r="G162" s="190"/>
      <c r="I162" s="46"/>
      <c r="J162" s="46"/>
    </row>
    <row r="163" spans="1:19" x14ac:dyDescent="0.2">
      <c r="A163" s="192" t="s">
        <v>218</v>
      </c>
      <c r="B163" s="194" t="s">
        <v>16</v>
      </c>
      <c r="C163" s="263">
        <v>1</v>
      </c>
      <c r="D163" s="249">
        <v>19.75</v>
      </c>
      <c r="E163" s="232">
        <f>D163/1000</f>
        <v>1.975E-2</v>
      </c>
      <c r="F163" s="190"/>
      <c r="G163" s="245"/>
      <c r="I163" s="46"/>
      <c r="J163" s="46"/>
    </row>
    <row r="164" spans="1:19" x14ac:dyDescent="0.2">
      <c r="A164" s="192" t="s">
        <v>17</v>
      </c>
      <c r="B164" s="194" t="s">
        <v>15</v>
      </c>
      <c r="C164" s="264">
        <f>C162</f>
        <v>1350</v>
      </c>
      <c r="D164" s="265">
        <f>E163</f>
        <v>1.975E-2</v>
      </c>
      <c r="E164" s="232">
        <f>C164*D164</f>
        <v>26.662500000000001</v>
      </c>
      <c r="F164" s="190"/>
      <c r="G164" s="245"/>
      <c r="I164" s="46"/>
      <c r="J164" s="46"/>
    </row>
    <row r="165" spans="1:19" x14ac:dyDescent="0.2">
      <c r="A165" s="192" t="s">
        <v>219</v>
      </c>
      <c r="B165" s="194" t="s">
        <v>16</v>
      </c>
      <c r="C165" s="263">
        <v>1</v>
      </c>
      <c r="D165" s="249">
        <v>17.5</v>
      </c>
      <c r="E165" s="232">
        <f>D165/1000</f>
        <v>1.7500000000000002E-2</v>
      </c>
      <c r="F165" s="190"/>
      <c r="G165" s="245"/>
      <c r="I165" s="46"/>
      <c r="J165" s="46"/>
    </row>
    <row r="166" spans="1:19" x14ac:dyDescent="0.2">
      <c r="A166" s="192" t="s">
        <v>18</v>
      </c>
      <c r="B166" s="194" t="s">
        <v>15</v>
      </c>
      <c r="C166" s="264">
        <f>C162</f>
        <v>1350</v>
      </c>
      <c r="D166" s="265">
        <f>E165</f>
        <v>1.7500000000000002E-2</v>
      </c>
      <c r="E166" s="232">
        <f>C166*D166</f>
        <v>23.625000000000004</v>
      </c>
      <c r="F166" s="190"/>
      <c r="G166" s="245"/>
      <c r="I166" s="46"/>
      <c r="J166" s="46"/>
    </row>
    <row r="167" spans="1:19" x14ac:dyDescent="0.2">
      <c r="A167" s="192" t="s">
        <v>220</v>
      </c>
      <c r="B167" s="194" t="s">
        <v>16</v>
      </c>
      <c r="C167" s="263">
        <v>1</v>
      </c>
      <c r="D167" s="249">
        <v>28</v>
      </c>
      <c r="E167" s="232">
        <f>D167/1000</f>
        <v>2.8000000000000001E-2</v>
      </c>
      <c r="F167" s="190"/>
      <c r="G167" s="245"/>
      <c r="I167" s="46"/>
      <c r="J167" s="46"/>
    </row>
    <row r="168" spans="1:19" x14ac:dyDescent="0.2">
      <c r="A168" s="192" t="s">
        <v>19</v>
      </c>
      <c r="B168" s="194" t="s">
        <v>15</v>
      </c>
      <c r="C168" s="264">
        <f>C162</f>
        <v>1350</v>
      </c>
      <c r="D168" s="265">
        <f>E167</f>
        <v>2.8000000000000001E-2</v>
      </c>
      <c r="E168" s="232">
        <f>C168*D168</f>
        <v>37.800000000000004</v>
      </c>
      <c r="F168" s="190"/>
      <c r="G168" s="245"/>
      <c r="I168" s="46"/>
      <c r="J168" s="46"/>
    </row>
    <row r="169" spans="1:19" x14ac:dyDescent="0.2">
      <c r="A169" s="192" t="s">
        <v>20</v>
      </c>
      <c r="B169" s="194" t="s">
        <v>21</v>
      </c>
      <c r="C169" s="263">
        <v>2</v>
      </c>
      <c r="D169" s="249">
        <v>14.67</v>
      </c>
      <c r="E169" s="232">
        <f>D169*C169/1000</f>
        <v>2.9340000000000001E-2</v>
      </c>
      <c r="F169" s="190"/>
      <c r="G169" s="245"/>
      <c r="I169" s="46"/>
      <c r="J169" s="46"/>
    </row>
    <row r="170" spans="1:19" ht="11.25" customHeight="1" x14ac:dyDescent="0.2">
      <c r="A170" s="192" t="s">
        <v>22</v>
      </c>
      <c r="B170" s="194" t="s">
        <v>15</v>
      </c>
      <c r="C170" s="264">
        <f>C162</f>
        <v>1350</v>
      </c>
      <c r="D170" s="265">
        <f>E169</f>
        <v>2.9340000000000001E-2</v>
      </c>
      <c r="E170" s="232">
        <f>C170*D170</f>
        <v>39.609000000000002</v>
      </c>
      <c r="F170" s="190"/>
      <c r="G170" s="245"/>
      <c r="I170" s="46"/>
      <c r="J170" s="46"/>
    </row>
    <row r="171" spans="1:19" ht="13.5" thickBot="1" x14ac:dyDescent="0.25">
      <c r="A171" s="47" t="s">
        <v>236</v>
      </c>
      <c r="B171" s="48" t="s">
        <v>101</v>
      </c>
      <c r="C171" s="176">
        <f>B158</f>
        <v>1350</v>
      </c>
      <c r="D171" s="177">
        <f>IFERROR(D162+D164+D166+D168+D170,0)</f>
        <v>1.7445899999999999</v>
      </c>
      <c r="E171" s="232">
        <f>C171*D171</f>
        <v>2355.1965</v>
      </c>
      <c r="F171" s="190"/>
      <c r="G171" s="245"/>
      <c r="I171" s="46"/>
      <c r="J171" s="46"/>
    </row>
    <row r="172" spans="1:19" ht="13.5" thickBot="1" x14ac:dyDescent="0.25">
      <c r="A172" s="4"/>
      <c r="B172" s="4"/>
      <c r="C172" s="4"/>
      <c r="D172" s="190"/>
      <c r="E172" s="190"/>
      <c r="F172" s="10">
        <f>E171</f>
        <v>2355.1965</v>
      </c>
      <c r="G172" s="190"/>
      <c r="I172" s="46"/>
      <c r="J172" s="46"/>
    </row>
    <row r="173" spans="1:19" x14ac:dyDescent="0.2">
      <c r="A173" s="4"/>
      <c r="B173" s="4"/>
      <c r="C173" s="4"/>
      <c r="D173" s="190"/>
      <c r="E173" s="190"/>
      <c r="F173" s="190"/>
      <c r="G173" s="190"/>
      <c r="I173" s="46"/>
      <c r="J173" s="46"/>
    </row>
    <row r="174" spans="1:19" ht="13.5" thickBot="1" x14ac:dyDescent="0.25">
      <c r="A174" s="4" t="s">
        <v>47</v>
      </c>
      <c r="B174" s="4"/>
      <c r="C174" s="4"/>
      <c r="D174" s="190"/>
      <c r="E174" s="190"/>
      <c r="F174" s="190"/>
      <c r="G174" s="190"/>
      <c r="I174" s="46"/>
      <c r="J174" s="46"/>
      <c r="K174" s="191"/>
      <c r="S174" s="191"/>
    </row>
    <row r="175" spans="1:19" ht="13.5" thickBot="1" x14ac:dyDescent="0.25">
      <c r="A175" s="30" t="s">
        <v>58</v>
      </c>
      <c r="B175" s="31" t="s">
        <v>59</v>
      </c>
      <c r="C175" s="31" t="s">
        <v>36</v>
      </c>
      <c r="D175" s="32" t="s">
        <v>217</v>
      </c>
      <c r="E175" s="32" t="s">
        <v>60</v>
      </c>
      <c r="F175" s="33" t="s">
        <v>61</v>
      </c>
      <c r="G175" s="190"/>
      <c r="I175" s="46"/>
      <c r="J175" s="46"/>
    </row>
    <row r="176" spans="1:19" ht="13.5" thickBot="1" x14ac:dyDescent="0.25">
      <c r="A176" s="188" t="s">
        <v>99</v>
      </c>
      <c r="B176" s="189" t="s">
        <v>101</v>
      </c>
      <c r="C176" s="244">
        <f>B158</f>
        <v>1350</v>
      </c>
      <c r="D176" s="229">
        <v>0.75</v>
      </c>
      <c r="E176" s="230">
        <f>C176*D176</f>
        <v>1012.5</v>
      </c>
      <c r="F176" s="190"/>
      <c r="G176" s="190"/>
      <c r="I176" s="46"/>
      <c r="J176" s="46"/>
    </row>
    <row r="177" spans="1:10" ht="13.5" thickBot="1" x14ac:dyDescent="0.25">
      <c r="A177" s="4"/>
      <c r="B177" s="4"/>
      <c r="C177" s="4"/>
      <c r="D177" s="190"/>
      <c r="E177" s="190"/>
      <c r="F177" s="10">
        <f>E176</f>
        <v>1012.5</v>
      </c>
      <c r="G177" s="190"/>
      <c r="I177" s="46"/>
      <c r="J177" s="46"/>
    </row>
    <row r="178" spans="1:10" ht="11.25" customHeight="1" x14ac:dyDescent="0.2">
      <c r="A178" s="4"/>
      <c r="B178" s="4"/>
      <c r="C178" s="4"/>
      <c r="D178" s="190"/>
      <c r="E178" s="190"/>
      <c r="F178" s="190"/>
      <c r="G178" s="190"/>
      <c r="I178" s="46"/>
      <c r="J178" s="46"/>
    </row>
    <row r="179" spans="1:10" ht="13.5" thickBot="1" x14ac:dyDescent="0.25">
      <c r="A179" s="4" t="s">
        <v>56</v>
      </c>
      <c r="B179" s="4"/>
      <c r="C179" s="4"/>
      <c r="D179" s="190"/>
      <c r="E179" s="190"/>
      <c r="F179" s="190"/>
      <c r="G179" s="190"/>
      <c r="I179" s="46"/>
      <c r="J179" s="46"/>
    </row>
    <row r="180" spans="1:10" ht="13.5" thickBot="1" x14ac:dyDescent="0.25">
      <c r="A180" s="30" t="s">
        <v>58</v>
      </c>
      <c r="B180" s="31" t="s">
        <v>59</v>
      </c>
      <c r="C180" s="31" t="s">
        <v>36</v>
      </c>
      <c r="D180" s="32" t="s">
        <v>217</v>
      </c>
      <c r="E180" s="32" t="s">
        <v>60</v>
      </c>
      <c r="F180" s="33" t="s">
        <v>61</v>
      </c>
      <c r="G180" s="190"/>
      <c r="I180" s="46"/>
      <c r="J180" s="46"/>
    </row>
    <row r="181" spans="1:10" x14ac:dyDescent="0.2">
      <c r="A181" s="188" t="s">
        <v>258</v>
      </c>
      <c r="B181" s="189" t="s">
        <v>7</v>
      </c>
      <c r="C181" s="228">
        <v>6</v>
      </c>
      <c r="D181" s="229">
        <v>1999</v>
      </c>
      <c r="E181" s="230">
        <f>C181*D181</f>
        <v>11994</v>
      </c>
      <c r="F181" s="190"/>
      <c r="G181" s="190"/>
      <c r="I181" s="46"/>
      <c r="J181" s="46"/>
    </row>
    <row r="182" spans="1:10" x14ac:dyDescent="0.2">
      <c r="A182" s="188" t="s">
        <v>102</v>
      </c>
      <c r="B182" s="189" t="s">
        <v>7</v>
      </c>
      <c r="C182" s="228">
        <v>2</v>
      </c>
      <c r="D182" s="229"/>
      <c r="E182" s="230"/>
      <c r="F182" s="190"/>
      <c r="G182" s="190"/>
      <c r="I182" s="46"/>
      <c r="J182" s="46"/>
    </row>
    <row r="183" spans="1:10" x14ac:dyDescent="0.2">
      <c r="A183" s="188" t="s">
        <v>65</v>
      </c>
      <c r="B183" s="189" t="s">
        <v>7</v>
      </c>
      <c r="C183" s="238">
        <f>C181*C182</f>
        <v>12</v>
      </c>
      <c r="D183" s="229">
        <v>650</v>
      </c>
      <c r="E183" s="230">
        <f>C183*D183</f>
        <v>7800</v>
      </c>
      <c r="F183" s="190"/>
      <c r="G183" s="190"/>
      <c r="I183" s="46"/>
      <c r="J183" s="46"/>
    </row>
    <row r="184" spans="1:10" x14ac:dyDescent="0.2">
      <c r="A184" s="192" t="s">
        <v>259</v>
      </c>
      <c r="B184" s="194" t="s">
        <v>23</v>
      </c>
      <c r="C184" s="266">
        <v>50000</v>
      </c>
      <c r="D184" s="249">
        <f>E181+E183</f>
        <v>19794</v>
      </c>
      <c r="E184" s="232">
        <f>IFERROR(D184/C184,"-")</f>
        <v>0.39588000000000001</v>
      </c>
      <c r="F184" s="190"/>
      <c r="G184" s="190"/>
      <c r="I184" s="46"/>
      <c r="J184" s="46"/>
    </row>
    <row r="185" spans="1:10" ht="13.5" thickBot="1" x14ac:dyDescent="0.25">
      <c r="A185" s="192" t="s">
        <v>49</v>
      </c>
      <c r="B185" s="194" t="s">
        <v>15</v>
      </c>
      <c r="C185" s="244">
        <f>B158</f>
        <v>1350</v>
      </c>
      <c r="D185" s="249">
        <f>E184</f>
        <v>0.39588000000000001</v>
      </c>
      <c r="E185" s="232">
        <f>IFERROR(C185*D185,0)</f>
        <v>534.43799999999999</v>
      </c>
      <c r="F185" s="190"/>
      <c r="G185" s="190"/>
      <c r="I185" s="46"/>
      <c r="J185" s="46"/>
    </row>
    <row r="186" spans="1:10" ht="13.5" thickBot="1" x14ac:dyDescent="0.25">
      <c r="A186" s="69"/>
      <c r="B186" s="280"/>
      <c r="C186" s="281"/>
      <c r="D186" s="282"/>
      <c r="E186" s="283"/>
      <c r="F186" s="10">
        <f>E185</f>
        <v>534.43799999999999</v>
      </c>
      <c r="G186" s="190"/>
      <c r="I186" s="46"/>
      <c r="J186" s="46"/>
    </row>
    <row r="187" spans="1:10" ht="13.5" thickBot="1" x14ac:dyDescent="0.25">
      <c r="A187" s="4"/>
      <c r="B187" s="4"/>
      <c r="C187" s="4"/>
      <c r="D187" s="190"/>
      <c r="E187" s="190"/>
      <c r="F187" s="6"/>
      <c r="G187" s="190"/>
      <c r="H187" s="26"/>
      <c r="I187" s="46"/>
      <c r="J187" s="46"/>
    </row>
    <row r="188" spans="1:10" ht="13.5" thickBot="1" x14ac:dyDescent="0.25">
      <c r="A188" s="12" t="s">
        <v>265</v>
      </c>
      <c r="B188" s="250"/>
      <c r="C188" s="250"/>
      <c r="D188" s="251"/>
      <c r="E188" s="252"/>
      <c r="F188" s="11">
        <f>F186+F177+F154+F146+F130+F172</f>
        <v>5117.5998087500002</v>
      </c>
      <c r="G188" s="190"/>
      <c r="H188" s="26"/>
      <c r="I188" s="46"/>
      <c r="J188" s="46"/>
    </row>
    <row r="189" spans="1:10" ht="13.5" customHeight="1" x14ac:dyDescent="0.2">
      <c r="A189" s="4"/>
      <c r="B189" s="4"/>
      <c r="C189" s="4"/>
      <c r="D189" s="190"/>
      <c r="E189" s="190"/>
      <c r="F189" s="190"/>
      <c r="G189" s="4"/>
    </row>
    <row r="190" spans="1:10" ht="13.5" customHeight="1" x14ac:dyDescent="0.2">
      <c r="A190" s="18" t="s">
        <v>68</v>
      </c>
      <c r="B190" s="18"/>
      <c r="C190" s="18"/>
      <c r="D190" s="19"/>
      <c r="E190" s="19"/>
      <c r="F190" s="17"/>
      <c r="G190" s="4"/>
    </row>
    <row r="191" spans="1:10" ht="13.5" customHeight="1" thickBot="1" x14ac:dyDescent="0.25">
      <c r="A191" s="4"/>
      <c r="B191" s="4"/>
      <c r="C191" s="4"/>
      <c r="D191" s="190"/>
      <c r="E191" s="190"/>
      <c r="F191" s="190"/>
      <c r="G191" s="4"/>
    </row>
    <row r="192" spans="1:10" ht="13.5" customHeight="1" thickBot="1" x14ac:dyDescent="0.25">
      <c r="A192" s="30" t="s">
        <v>58</v>
      </c>
      <c r="B192" s="31" t="s">
        <v>59</v>
      </c>
      <c r="C192" s="31" t="s">
        <v>36</v>
      </c>
      <c r="D192" s="32" t="s">
        <v>217</v>
      </c>
      <c r="E192" s="32" t="s">
        <v>60</v>
      </c>
      <c r="F192" s="33" t="s">
        <v>61</v>
      </c>
      <c r="G192" s="4"/>
    </row>
    <row r="193" spans="1:7" ht="13.5" customHeight="1" x14ac:dyDescent="0.2">
      <c r="A193" s="192" t="s">
        <v>66</v>
      </c>
      <c r="B193" s="194" t="s">
        <v>7</v>
      </c>
      <c r="C193" s="277">
        <v>1</v>
      </c>
      <c r="D193" s="268">
        <v>32</v>
      </c>
      <c r="E193" s="232">
        <f>C193*D193</f>
        <v>32</v>
      </c>
      <c r="F193" s="269"/>
      <c r="G193" s="4"/>
    </row>
    <row r="194" spans="1:7" ht="13.5" customHeight="1" x14ac:dyDescent="0.2">
      <c r="A194" s="192" t="s">
        <v>25</v>
      </c>
      <c r="B194" s="194" t="s">
        <v>7</v>
      </c>
      <c r="C194" s="267">
        <v>0.25</v>
      </c>
      <c r="D194" s="268">
        <v>32</v>
      </c>
      <c r="E194" s="232">
        <f>C194*D194</f>
        <v>8</v>
      </c>
      <c r="F194" s="269"/>
      <c r="G194" s="4"/>
    </row>
    <row r="195" spans="1:7" ht="13.5" customHeight="1" x14ac:dyDescent="0.2">
      <c r="A195" s="192" t="s">
        <v>26</v>
      </c>
      <c r="B195" s="194" t="s">
        <v>7</v>
      </c>
      <c r="C195" s="267">
        <v>0.25</v>
      </c>
      <c r="D195" s="268">
        <v>25</v>
      </c>
      <c r="E195" s="232">
        <f>C195*D195</f>
        <v>6.25</v>
      </c>
      <c r="F195" s="269"/>
      <c r="G195" s="4"/>
    </row>
    <row r="196" spans="1:7" ht="13.5" customHeight="1" x14ac:dyDescent="0.2">
      <c r="A196" s="192" t="s">
        <v>51</v>
      </c>
      <c r="B196" s="194" t="s">
        <v>52</v>
      </c>
      <c r="C196" s="267">
        <v>0.08</v>
      </c>
      <c r="D196" s="268">
        <v>55</v>
      </c>
      <c r="E196" s="232">
        <f>C196*D196</f>
        <v>4.4000000000000004</v>
      </c>
      <c r="F196" s="269"/>
      <c r="G196" s="4"/>
    </row>
    <row r="197" spans="1:7" ht="13.5" customHeight="1" thickBot="1" x14ac:dyDescent="0.25">
      <c r="A197" s="192" t="s">
        <v>54</v>
      </c>
      <c r="B197" s="194" t="s">
        <v>52</v>
      </c>
      <c r="C197" s="267">
        <v>0.08</v>
      </c>
      <c r="D197" s="268">
        <v>45</v>
      </c>
      <c r="E197" s="232">
        <f>C197*D197</f>
        <v>3.6</v>
      </c>
      <c r="F197" s="269"/>
      <c r="G197" s="4"/>
    </row>
    <row r="198" spans="1:7" ht="13.5" customHeight="1" thickBot="1" x14ac:dyDescent="0.25">
      <c r="A198" s="18"/>
      <c r="B198" s="18"/>
      <c r="C198" s="18"/>
      <c r="D198" s="236" t="s">
        <v>178</v>
      </c>
      <c r="E198" s="237">
        <f>E154</f>
        <v>0.42</v>
      </c>
      <c r="F198" s="10">
        <f>SUM(E193:E197)*E198</f>
        <v>22.785</v>
      </c>
      <c r="G198" s="4"/>
    </row>
    <row r="199" spans="1:7" ht="13.5" customHeight="1" thickBot="1" x14ac:dyDescent="0.25">
      <c r="A199" s="4"/>
      <c r="B199" s="4"/>
      <c r="C199" s="4"/>
      <c r="D199" s="190"/>
      <c r="E199" s="190"/>
      <c r="F199" s="190"/>
      <c r="G199" s="4"/>
    </row>
    <row r="200" spans="1:7" ht="13.5" customHeight="1" thickBot="1" x14ac:dyDescent="0.25">
      <c r="A200" s="12" t="s">
        <v>206</v>
      </c>
      <c r="B200" s="13"/>
      <c r="C200" s="13"/>
      <c r="D200" s="14"/>
      <c r="E200" s="15"/>
      <c r="F200" s="10">
        <f>+F198</f>
        <v>22.785</v>
      </c>
      <c r="G200" s="4"/>
    </row>
    <row r="201" spans="1:7" ht="13.5" customHeight="1" x14ac:dyDescent="0.2">
      <c r="A201" s="4"/>
      <c r="B201" s="4"/>
      <c r="C201" s="4"/>
      <c r="D201" s="190"/>
      <c r="E201" s="190"/>
      <c r="F201" s="190"/>
      <c r="G201" s="4"/>
    </row>
    <row r="202" spans="1:7" ht="13.5" customHeight="1" x14ac:dyDescent="0.2">
      <c r="A202" s="18" t="s">
        <v>69</v>
      </c>
      <c r="B202" s="18"/>
      <c r="C202" s="18"/>
      <c r="D202" s="19"/>
      <c r="E202" s="19"/>
      <c r="F202" s="17"/>
      <c r="G202" s="190"/>
    </row>
    <row r="203" spans="1:7" ht="13.5" customHeight="1" thickBot="1" x14ac:dyDescent="0.25">
      <c r="A203" s="4"/>
      <c r="B203" s="4"/>
      <c r="C203" s="4"/>
      <c r="D203" s="190"/>
      <c r="E203" s="190"/>
      <c r="F203" s="190"/>
      <c r="G203" s="190"/>
    </row>
    <row r="204" spans="1:7" ht="13.5" customHeight="1" thickBot="1" x14ac:dyDescent="0.25">
      <c r="A204" s="30" t="s">
        <v>58</v>
      </c>
      <c r="B204" s="31" t="s">
        <v>59</v>
      </c>
      <c r="C204" s="31" t="s">
        <v>36</v>
      </c>
      <c r="D204" s="32" t="s">
        <v>217</v>
      </c>
      <c r="E204" s="32" t="s">
        <v>60</v>
      </c>
      <c r="F204" s="33" t="s">
        <v>61</v>
      </c>
      <c r="G204" s="190"/>
    </row>
    <row r="205" spans="1:7" ht="13.5" customHeight="1" x14ac:dyDescent="0.2">
      <c r="A205" s="192" t="s">
        <v>204</v>
      </c>
      <c r="B205" s="27" t="s">
        <v>52</v>
      </c>
      <c r="C205" s="248">
        <f>C118</f>
        <v>1</v>
      </c>
      <c r="D205" s="270">
        <v>250</v>
      </c>
      <c r="E205" s="232">
        <f>+D205*C205</f>
        <v>250</v>
      </c>
      <c r="F205" s="269"/>
      <c r="G205" s="190"/>
    </row>
    <row r="206" spans="1:7" ht="13.5" customHeight="1" x14ac:dyDescent="0.2">
      <c r="A206" s="192" t="s">
        <v>55</v>
      </c>
      <c r="B206" s="27" t="s">
        <v>6</v>
      </c>
      <c r="C206" s="271">
        <v>24</v>
      </c>
      <c r="D206" s="209">
        <f>SUM(E205:E205)</f>
        <v>250</v>
      </c>
      <c r="E206" s="42">
        <f>+D206/C206</f>
        <v>10.416666666666666</v>
      </c>
      <c r="F206" s="269"/>
      <c r="G206" s="190"/>
    </row>
    <row r="207" spans="1:7" ht="13.5" customHeight="1" x14ac:dyDescent="0.2">
      <c r="A207" s="192" t="s">
        <v>205</v>
      </c>
      <c r="B207" s="194" t="s">
        <v>7</v>
      </c>
      <c r="C207" s="248">
        <f>+C205</f>
        <v>1</v>
      </c>
      <c r="D207" s="270">
        <v>54.99</v>
      </c>
      <c r="E207" s="232">
        <f>C207*D207</f>
        <v>54.99</v>
      </c>
      <c r="F207" s="269"/>
      <c r="G207" s="190"/>
    </row>
    <row r="208" spans="1:7" ht="13.5" customHeight="1" thickBot="1" x14ac:dyDescent="0.25">
      <c r="A208" s="192" t="s">
        <v>33</v>
      </c>
      <c r="B208" s="27" t="s">
        <v>6</v>
      </c>
      <c r="C208" s="271">
        <v>1</v>
      </c>
      <c r="D208" s="209">
        <f>+E207</f>
        <v>54.99</v>
      </c>
      <c r="E208" s="42">
        <f>+D208/C208</f>
        <v>54.99</v>
      </c>
      <c r="F208" s="269"/>
      <c r="G208" s="190"/>
    </row>
    <row r="209" spans="1:7" ht="13.5" customHeight="1" thickBot="1" x14ac:dyDescent="0.25">
      <c r="A209" s="43"/>
      <c r="B209" s="43"/>
      <c r="C209" s="43"/>
      <c r="D209" s="236" t="s">
        <v>178</v>
      </c>
      <c r="E209" s="237">
        <f>E154</f>
        <v>0.42</v>
      </c>
      <c r="F209" s="44">
        <f>(E206+E208)*E209</f>
        <v>27.470800000000001</v>
      </c>
      <c r="G209" s="190"/>
    </row>
    <row r="210" spans="1:7" ht="13.5" customHeight="1" thickBot="1" x14ac:dyDescent="0.25">
      <c r="A210" s="4"/>
      <c r="B210" s="4"/>
      <c r="C210" s="4"/>
      <c r="D210" s="190"/>
      <c r="E210" s="190"/>
      <c r="F210" s="190"/>
      <c r="G210" s="45"/>
    </row>
    <row r="211" spans="1:7" ht="13.5" customHeight="1" thickBot="1" x14ac:dyDescent="0.25">
      <c r="A211" s="12" t="s">
        <v>203</v>
      </c>
      <c r="B211" s="13"/>
      <c r="C211" s="13"/>
      <c r="D211" s="14"/>
      <c r="E211" s="15"/>
      <c r="F211" s="10">
        <f>+F209</f>
        <v>27.470800000000001</v>
      </c>
      <c r="G211" s="190"/>
    </row>
    <row r="212" spans="1:7" ht="13.5" customHeight="1" thickBot="1" x14ac:dyDescent="0.25">
      <c r="A212" s="4"/>
      <c r="B212" s="4"/>
      <c r="C212" s="4"/>
      <c r="D212" s="190"/>
      <c r="E212" s="190"/>
      <c r="F212" s="190"/>
      <c r="G212" s="190"/>
    </row>
    <row r="213" spans="1:7" ht="13.5" customHeight="1" thickBot="1" x14ac:dyDescent="0.25">
      <c r="A213" s="12" t="s">
        <v>207</v>
      </c>
      <c r="B213" s="250"/>
      <c r="C213" s="250"/>
      <c r="D213" s="251"/>
      <c r="E213" s="252"/>
      <c r="F213" s="11">
        <f>F211+F200+F110+F71+F188</f>
        <v>12946.293351619919</v>
      </c>
      <c r="G213" s="190"/>
    </row>
    <row r="214" spans="1:7" ht="13.5" customHeight="1" x14ac:dyDescent="0.2">
      <c r="A214" s="4"/>
      <c r="B214" s="4"/>
      <c r="C214" s="4"/>
      <c r="D214" s="190"/>
      <c r="E214" s="190"/>
      <c r="F214" s="190"/>
      <c r="G214" s="190"/>
    </row>
    <row r="215" spans="1:7" ht="13.5" customHeight="1" x14ac:dyDescent="0.2">
      <c r="A215" s="8" t="s">
        <v>84</v>
      </c>
      <c r="B215" s="4"/>
      <c r="C215" s="4"/>
      <c r="D215" s="190"/>
      <c r="E215" s="190"/>
      <c r="F215" s="190"/>
      <c r="G215" s="190"/>
    </row>
    <row r="216" spans="1:7" ht="13.5" customHeight="1" thickBot="1" x14ac:dyDescent="0.25">
      <c r="A216" s="4"/>
      <c r="B216" s="4"/>
      <c r="C216" s="4"/>
      <c r="D216" s="190"/>
      <c r="E216" s="190"/>
      <c r="F216" s="190"/>
      <c r="G216" s="190"/>
    </row>
    <row r="217" spans="1:7" ht="13.5" customHeight="1" thickBot="1" x14ac:dyDescent="0.25">
      <c r="A217" s="30" t="s">
        <v>58</v>
      </c>
      <c r="B217" s="31" t="s">
        <v>59</v>
      </c>
      <c r="C217" s="31" t="s">
        <v>36</v>
      </c>
      <c r="D217" s="32" t="s">
        <v>217</v>
      </c>
      <c r="E217" s="32" t="s">
        <v>60</v>
      </c>
      <c r="F217" s="33" t="s">
        <v>61</v>
      </c>
      <c r="G217" s="190"/>
    </row>
    <row r="218" spans="1:7" ht="13.5" customHeight="1" thickBot="1" x14ac:dyDescent="0.25">
      <c r="A218" s="188" t="s">
        <v>32</v>
      </c>
      <c r="B218" s="189" t="s">
        <v>1</v>
      </c>
      <c r="C218" s="233">
        <v>27.72</v>
      </c>
      <c r="D218" s="230">
        <f>+F213</f>
        <v>12946.293351619919</v>
      </c>
      <c r="E218" s="230">
        <f>C218*D218/100</f>
        <v>3588.7125170690415</v>
      </c>
      <c r="F218" s="190"/>
      <c r="G218" s="190"/>
    </row>
    <row r="219" spans="1:7" ht="13.5" customHeight="1" thickBot="1" x14ac:dyDescent="0.25">
      <c r="A219" s="4"/>
      <c r="B219" s="4"/>
      <c r="C219" s="4"/>
      <c r="D219" s="190"/>
      <c r="E219" s="190"/>
      <c r="F219" s="10">
        <f>+E218</f>
        <v>3588.7125170690415</v>
      </c>
      <c r="G219" s="190"/>
    </row>
    <row r="220" spans="1:7" ht="13.5" customHeight="1" thickBot="1" x14ac:dyDescent="0.25">
      <c r="A220" s="4"/>
      <c r="B220" s="4"/>
      <c r="C220" s="4"/>
      <c r="D220" s="190"/>
      <c r="E220" s="190"/>
      <c r="F220" s="190"/>
      <c r="G220" s="190"/>
    </row>
    <row r="221" spans="1:7" ht="13.5" customHeight="1" thickBot="1" x14ac:dyDescent="0.25">
      <c r="A221" s="12" t="s">
        <v>222</v>
      </c>
      <c r="B221" s="250"/>
      <c r="C221" s="250"/>
      <c r="D221" s="251"/>
      <c r="E221" s="252"/>
      <c r="F221" s="11">
        <f>F219</f>
        <v>3588.7125170690415</v>
      </c>
      <c r="G221" s="190"/>
    </row>
    <row r="222" spans="1:7" ht="25.5" customHeight="1" x14ac:dyDescent="0.2">
      <c r="A222" s="18"/>
      <c r="B222" s="18"/>
      <c r="C222" s="18"/>
      <c r="D222" s="19"/>
      <c r="E222" s="19"/>
      <c r="F222" s="17"/>
      <c r="G222" s="190"/>
    </row>
    <row r="223" spans="1:7" ht="13.5" customHeight="1" thickBot="1" x14ac:dyDescent="0.25">
      <c r="A223" s="4"/>
      <c r="B223" s="4"/>
      <c r="C223" s="4"/>
      <c r="D223" s="190"/>
      <c r="E223" s="190"/>
      <c r="F223" s="190"/>
      <c r="G223" s="190"/>
    </row>
    <row r="224" spans="1:7" ht="13.5" customHeight="1" thickBot="1" x14ac:dyDescent="0.25">
      <c r="A224" s="12" t="s">
        <v>208</v>
      </c>
      <c r="B224" s="250"/>
      <c r="C224" s="250"/>
      <c r="D224" s="251"/>
      <c r="E224" s="252"/>
      <c r="F224" s="11">
        <f>F213+F221</f>
        <v>16535.005868688961</v>
      </c>
      <c r="G224" s="190"/>
    </row>
    <row r="225" spans="1:7" ht="13.5" customHeight="1" x14ac:dyDescent="0.2">
      <c r="A225" s="28"/>
      <c r="B225" s="28"/>
      <c r="C225" s="28"/>
      <c r="D225" s="29"/>
      <c r="E225" s="29"/>
      <c r="F225" s="29"/>
      <c r="G225" s="190"/>
    </row>
    <row r="226" spans="1:7" ht="13.5" customHeight="1" x14ac:dyDescent="0.2">
      <c r="A226" s="272" t="s">
        <v>202</v>
      </c>
      <c r="B226" s="273"/>
      <c r="C226" s="273"/>
      <c r="D226" s="274">
        <v>65</v>
      </c>
      <c r="E226" s="275" t="s">
        <v>24</v>
      </c>
      <c r="F226" s="190"/>
      <c r="G226" s="4"/>
    </row>
    <row r="227" spans="1:7" ht="13.5" customHeight="1" x14ac:dyDescent="0.2">
      <c r="A227" s="69"/>
      <c r="B227" s="69"/>
      <c r="C227" s="69"/>
      <c r="D227" s="276"/>
      <c r="E227" s="221"/>
      <c r="F227" s="190"/>
      <c r="G227" s="4"/>
    </row>
    <row r="228" spans="1:7" ht="13.5" customHeight="1" thickBot="1" x14ac:dyDescent="0.25">
      <c r="A228" s="18" t="s">
        <v>260</v>
      </c>
      <c r="B228" s="69"/>
      <c r="C228" s="69"/>
      <c r="D228" s="276"/>
      <c r="E228" s="221"/>
      <c r="F228" s="190"/>
      <c r="G228" s="4"/>
    </row>
    <row r="229" spans="1:7" ht="13.5" customHeight="1" thickBot="1" x14ac:dyDescent="0.25">
      <c r="A229" s="30" t="s">
        <v>58</v>
      </c>
      <c r="B229" s="31" t="s">
        <v>59</v>
      </c>
      <c r="C229" s="31" t="s">
        <v>36</v>
      </c>
      <c r="D229" s="32" t="s">
        <v>217</v>
      </c>
      <c r="E229" s="32" t="s">
        <v>60</v>
      </c>
      <c r="F229" s="33" t="s">
        <v>61</v>
      </c>
      <c r="G229" s="4"/>
    </row>
    <row r="230" spans="1:7" ht="13.5" customHeight="1" thickBot="1" x14ac:dyDescent="0.25">
      <c r="A230" s="188" t="s">
        <v>292</v>
      </c>
      <c r="B230" s="189" t="s">
        <v>262</v>
      </c>
      <c r="C230" s="233">
        <v>65</v>
      </c>
      <c r="D230" s="230">
        <v>110</v>
      </c>
      <c r="E230" s="230">
        <f>C230*D230</f>
        <v>7150</v>
      </c>
      <c r="F230" s="190"/>
      <c r="G230" s="4"/>
    </row>
    <row r="231" spans="1:7" ht="13.5" customHeight="1" thickBot="1" x14ac:dyDescent="0.25">
      <c r="A231" s="4"/>
      <c r="B231" s="4"/>
      <c r="C231" s="4"/>
      <c r="D231" s="190"/>
      <c r="E231" s="190"/>
      <c r="F231" s="10">
        <f>+E230</f>
        <v>7150</v>
      </c>
      <c r="G231" s="4"/>
    </row>
    <row r="232" spans="1:7" ht="13.5" customHeight="1" thickBot="1" x14ac:dyDescent="0.25">
      <c r="A232" s="4"/>
      <c r="B232" s="4"/>
      <c r="C232" s="4"/>
      <c r="D232" s="190"/>
      <c r="E232" s="190"/>
      <c r="F232" s="190"/>
      <c r="G232" s="4"/>
    </row>
    <row r="233" spans="1:7" ht="25.5" customHeight="1" thickBot="1" x14ac:dyDescent="0.25">
      <c r="A233" s="12" t="s">
        <v>261</v>
      </c>
      <c r="B233" s="13"/>
      <c r="C233" s="13"/>
      <c r="D233" s="14"/>
      <c r="E233" s="165" t="s">
        <v>31</v>
      </c>
      <c r="F233" s="166">
        <f>F224+F231</f>
        <v>23685.005868688961</v>
      </c>
      <c r="G233" s="4"/>
    </row>
    <row r="234" spans="1:7" ht="13.5" customHeight="1" x14ac:dyDescent="0.2">
      <c r="A234" s="4"/>
    </row>
    <row r="235" spans="1:7" ht="13.5" customHeight="1" x14ac:dyDescent="0.2">
      <c r="A235" s="4"/>
      <c r="D235" s="331"/>
      <c r="E235" s="331"/>
      <c r="F235" s="331"/>
    </row>
    <row r="236" spans="1:7" ht="13.5" customHeight="1" x14ac:dyDescent="0.2">
      <c r="A236" s="4"/>
      <c r="F236" s="190"/>
    </row>
    <row r="237" spans="1:7" ht="13.5" customHeight="1" x14ac:dyDescent="0.2">
      <c r="A237" s="4"/>
      <c r="B237" s="190"/>
      <c r="C237" s="210"/>
      <c r="D237" s="190"/>
      <c r="E237" s="6"/>
      <c r="F237" s="6"/>
    </row>
    <row r="238" spans="1:7" ht="15.75" x14ac:dyDescent="0.2">
      <c r="A238" s="4"/>
      <c r="B238" s="190"/>
      <c r="C238" s="210"/>
      <c r="D238" s="190"/>
      <c r="E238" s="6"/>
      <c r="F238" s="6"/>
    </row>
    <row r="239" spans="1:7" ht="15.75" x14ac:dyDescent="0.2">
      <c r="B239" s="190"/>
      <c r="C239" s="210"/>
      <c r="E239" s="6"/>
      <c r="F239" s="6"/>
    </row>
  </sheetData>
  <protectedRanges>
    <protectedRange sqref="B38" name="Intervalo3"/>
    <protectedRange sqref="D44 D54" name="Intervalo1"/>
    <protectedRange sqref="D176 D181:D186 D80:D91 D97:D104 D118 D123 D150:D152 D161:D170" name="Intervalo2"/>
  </protectedRanges>
  <mergeCells count="10">
    <mergeCell ref="D235:F235"/>
    <mergeCell ref="B156:F156"/>
    <mergeCell ref="A35:D35"/>
    <mergeCell ref="A12:C12"/>
    <mergeCell ref="A2:F2"/>
    <mergeCell ref="A3:F3"/>
    <mergeCell ref="A5:F5"/>
    <mergeCell ref="A29:E29"/>
    <mergeCell ref="A30:D30"/>
    <mergeCell ref="C66:D66"/>
  </mergeCells>
  <phoneticPr fontId="10" type="noConversion"/>
  <conditionalFormatting sqref="F44">
    <cfRule type="containsText" dxfId="1" priority="6" operator="containsText" text="O valor informado é menor do que o piso da categoria">
      <formula>NOT(ISERROR(SEARCH("O valor informado é menor do que o piso da categoria",F44)))</formula>
    </cfRule>
  </conditionalFormatting>
  <conditionalFormatting sqref="F54">
    <cfRule type="containsText" dxfId="0" priority="5" operator="containsText" text="O valor informado é menor do que o piso da categoria">
      <formula>NOT(ISERROR(SEARCH("O valor informado é menor do que o piso da categoria",F54)))</formula>
    </cfRule>
  </conditionalFormatting>
  <hyperlinks>
    <hyperlink ref="A132" location="AbaRemun" display="3.1.2. Remuneração do Capital"/>
    <hyperlink ref="A116" location="AbaDeprec" display="3.1.1. Depreciação"/>
  </hyperlinks>
  <printOptions horizontalCentered="1"/>
  <pageMargins left="0.59055118110236227" right="0.39370078740157483" top="1.5354330708661419" bottom="0.74803149606299213" header="0.31496062992125984" footer="0.31496062992125984"/>
  <pageSetup paperSize="9" scale="81" fitToHeight="0" orientation="portrait" r:id="rId1"/>
  <headerFooter alignWithMargins="0">
    <oddFooter>&amp;R&amp;P de &amp;N</oddFooter>
  </headerFooter>
  <rowBreaks count="3" manualBreakCount="3">
    <brk id="38" max="16383" man="1"/>
    <brk id="73" max="16383" man="1"/>
    <brk id="110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zoomScaleNormal="100" workbookViewId="0">
      <selection activeCell="C34" sqref="C34"/>
    </sheetView>
  </sheetViews>
  <sheetFormatPr defaultRowHeight="12.75" x14ac:dyDescent="0.2"/>
  <cols>
    <col min="1" max="1" width="13.5703125" style="1" customWidth="1"/>
    <col min="2" max="2" width="36.7109375" style="1" bestFit="1" customWidth="1"/>
    <col min="3" max="3" width="14.5703125" style="1" customWidth="1"/>
    <col min="4" max="4" width="37.28515625" style="79" customWidth="1"/>
    <col min="5" max="10" width="9.140625" style="1"/>
    <col min="11" max="11" width="11" style="1" bestFit="1" customWidth="1"/>
    <col min="12" max="16384" width="9.140625" style="1"/>
  </cols>
  <sheetData>
    <row r="1" spans="1:12" x14ac:dyDescent="0.2">
      <c r="A1" s="8" t="s">
        <v>186</v>
      </c>
    </row>
    <row r="2" spans="1:12" x14ac:dyDescent="0.2">
      <c r="A2" s="70" t="s">
        <v>229</v>
      </c>
    </row>
    <row r="3" spans="1:12" ht="13.5" thickBot="1" x14ac:dyDescent="0.25"/>
    <row r="4" spans="1:12" ht="18" x14ac:dyDescent="0.2">
      <c r="A4" s="351" t="s">
        <v>211</v>
      </c>
      <c r="B4" s="352"/>
      <c r="C4" s="353"/>
      <c r="D4" s="75"/>
      <c r="E4" s="75"/>
      <c r="F4" s="75"/>
    </row>
    <row r="5" spans="1:12" ht="14.25" x14ac:dyDescent="0.2">
      <c r="A5" s="91" t="s">
        <v>123</v>
      </c>
      <c r="B5" s="92" t="s">
        <v>124</v>
      </c>
      <c r="C5" s="93" t="s">
        <v>125</v>
      </c>
      <c r="D5" s="94"/>
    </row>
    <row r="6" spans="1:12" ht="14.25" x14ac:dyDescent="0.2">
      <c r="A6" s="91" t="s">
        <v>126</v>
      </c>
      <c r="B6" s="92" t="s">
        <v>37</v>
      </c>
      <c r="C6" s="95">
        <v>0.2</v>
      </c>
      <c r="D6" s="94"/>
      <c r="F6" s="79"/>
      <c r="G6" s="79"/>
      <c r="H6" s="79"/>
      <c r="I6" s="79"/>
      <c r="J6" s="79"/>
      <c r="K6" s="79"/>
      <c r="L6" s="79"/>
    </row>
    <row r="7" spans="1:12" ht="14.25" x14ac:dyDescent="0.2">
      <c r="A7" s="91" t="s">
        <v>127</v>
      </c>
      <c r="B7" s="92" t="s">
        <v>128</v>
      </c>
      <c r="C7" s="95">
        <v>1.4999999999999999E-2</v>
      </c>
      <c r="D7" s="94"/>
      <c r="F7" s="79"/>
      <c r="G7" s="79"/>
      <c r="H7" s="79"/>
      <c r="I7" s="79"/>
      <c r="J7" s="79"/>
      <c r="K7" s="79"/>
      <c r="L7" s="79"/>
    </row>
    <row r="8" spans="1:12" ht="14.25" x14ac:dyDescent="0.2">
      <c r="A8" s="91" t="s">
        <v>129</v>
      </c>
      <c r="B8" s="92" t="s">
        <v>130</v>
      </c>
      <c r="C8" s="95">
        <v>0.01</v>
      </c>
      <c r="D8" s="94"/>
      <c r="F8" s="79"/>
      <c r="G8" s="79"/>
      <c r="H8" s="79"/>
      <c r="I8" s="79"/>
      <c r="J8" s="79"/>
      <c r="K8" s="79"/>
      <c r="L8" s="79"/>
    </row>
    <row r="9" spans="1:12" ht="14.25" x14ac:dyDescent="0.2">
      <c r="A9" s="91" t="s">
        <v>131</v>
      </c>
      <c r="B9" s="92" t="s">
        <v>132</v>
      </c>
      <c r="C9" s="95">
        <v>2E-3</v>
      </c>
      <c r="D9" s="94"/>
      <c r="F9" s="79"/>
      <c r="G9" s="79"/>
      <c r="H9" s="79"/>
      <c r="I9" s="79"/>
      <c r="J9" s="79"/>
      <c r="K9" s="79"/>
      <c r="L9" s="79"/>
    </row>
    <row r="10" spans="1:12" ht="14.25" x14ac:dyDescent="0.2">
      <c r="A10" s="91" t="s">
        <v>133</v>
      </c>
      <c r="B10" s="92" t="s">
        <v>134</v>
      </c>
      <c r="C10" s="95">
        <v>6.0000000000000001E-3</v>
      </c>
      <c r="D10" s="94"/>
      <c r="F10" s="79"/>
      <c r="G10" s="79"/>
      <c r="H10" s="79"/>
      <c r="I10" s="79"/>
      <c r="J10" s="79"/>
      <c r="K10" s="79"/>
      <c r="L10" s="79"/>
    </row>
    <row r="11" spans="1:12" ht="14.25" x14ac:dyDescent="0.2">
      <c r="A11" s="91" t="s">
        <v>135</v>
      </c>
      <c r="B11" s="92" t="s">
        <v>136</v>
      </c>
      <c r="C11" s="95">
        <v>2.5000000000000001E-2</v>
      </c>
      <c r="D11" s="94"/>
      <c r="F11" s="79"/>
      <c r="G11" s="79"/>
      <c r="H11" s="79"/>
      <c r="I11" s="79"/>
      <c r="J11" s="79"/>
      <c r="K11" s="79"/>
      <c r="L11" s="79"/>
    </row>
    <row r="12" spans="1:12" ht="14.25" x14ac:dyDescent="0.2">
      <c r="A12" s="91" t="s">
        <v>137</v>
      </c>
      <c r="B12" s="92" t="s">
        <v>138</v>
      </c>
      <c r="C12" s="95">
        <v>0.03</v>
      </c>
      <c r="D12" s="94"/>
      <c r="F12" s="79"/>
      <c r="G12" s="79"/>
      <c r="H12" s="79"/>
      <c r="I12" s="79"/>
      <c r="J12" s="79"/>
      <c r="K12" s="79"/>
      <c r="L12" s="79"/>
    </row>
    <row r="13" spans="1:12" ht="14.25" x14ac:dyDescent="0.2">
      <c r="A13" s="91" t="s">
        <v>139</v>
      </c>
      <c r="B13" s="92" t="s">
        <v>38</v>
      </c>
      <c r="C13" s="95">
        <v>0.08</v>
      </c>
      <c r="D13" s="96"/>
      <c r="F13" s="79"/>
      <c r="G13" s="79"/>
      <c r="H13" s="79"/>
      <c r="I13" s="79"/>
      <c r="J13" s="79"/>
      <c r="K13" s="79"/>
      <c r="L13" s="79"/>
    </row>
    <row r="14" spans="1:12" ht="15" x14ac:dyDescent="0.2">
      <c r="A14" s="91" t="s">
        <v>140</v>
      </c>
      <c r="B14" s="97" t="s">
        <v>141</v>
      </c>
      <c r="C14" s="98">
        <f>SUM(C6:C13)</f>
        <v>0.36800000000000005</v>
      </c>
      <c r="D14" s="96"/>
      <c r="F14" s="79"/>
      <c r="G14" s="79"/>
      <c r="H14" s="79"/>
      <c r="I14" s="79"/>
      <c r="J14" s="79"/>
      <c r="K14" s="79"/>
      <c r="L14" s="79"/>
    </row>
    <row r="15" spans="1:12" ht="15" x14ac:dyDescent="0.2">
      <c r="A15" s="99"/>
      <c r="B15" s="100"/>
      <c r="C15" s="101"/>
      <c r="D15" s="96"/>
      <c r="F15" s="79"/>
      <c r="G15" s="79"/>
      <c r="H15" s="79"/>
      <c r="I15" s="79"/>
      <c r="J15" s="79"/>
      <c r="K15" s="79"/>
      <c r="L15" s="79"/>
    </row>
    <row r="16" spans="1:12" ht="14.25" x14ac:dyDescent="0.2">
      <c r="A16" s="91" t="s">
        <v>142</v>
      </c>
      <c r="B16" s="102" t="s">
        <v>143</v>
      </c>
      <c r="C16" s="95">
        <v>6.5699999999999995E-2</v>
      </c>
      <c r="D16" s="96"/>
      <c r="F16" s="79"/>
      <c r="G16" s="79"/>
      <c r="H16" s="79"/>
      <c r="I16" s="79"/>
      <c r="J16" s="79"/>
      <c r="K16" s="79"/>
      <c r="L16" s="79"/>
    </row>
    <row r="17" spans="1:12" ht="14.25" x14ac:dyDescent="0.2">
      <c r="A17" s="91" t="s">
        <v>144</v>
      </c>
      <c r="B17" s="102" t="s">
        <v>145</v>
      </c>
      <c r="C17" s="95">
        <v>8.3299999999999999E-2</v>
      </c>
      <c r="D17" s="96"/>
      <c r="F17" s="79"/>
      <c r="G17" s="79"/>
      <c r="H17" s="79"/>
      <c r="I17" s="79"/>
      <c r="J17" s="79"/>
      <c r="K17" s="79"/>
      <c r="L17" s="79"/>
    </row>
    <row r="18" spans="1:12" ht="14.25" x14ac:dyDescent="0.2">
      <c r="A18" s="91" t="s">
        <v>201</v>
      </c>
      <c r="B18" s="102" t="s">
        <v>147</v>
      </c>
      <c r="C18" s="95">
        <v>5.9999999999999995E-4</v>
      </c>
      <c r="D18" s="96"/>
      <c r="F18" s="79"/>
      <c r="G18" s="79"/>
      <c r="H18" s="79"/>
      <c r="I18" s="79"/>
      <c r="J18" s="79"/>
      <c r="K18" s="79"/>
      <c r="L18" s="79"/>
    </row>
    <row r="19" spans="1:12" ht="14.25" x14ac:dyDescent="0.2">
      <c r="A19" s="91" t="s">
        <v>146</v>
      </c>
      <c r="B19" s="102" t="s">
        <v>149</v>
      </c>
      <c r="C19" s="95">
        <v>8.2000000000000007E-3</v>
      </c>
      <c r="D19" s="96"/>
      <c r="F19" s="79"/>
      <c r="G19" s="79"/>
      <c r="H19" s="79"/>
      <c r="I19" s="79"/>
      <c r="J19" s="79"/>
      <c r="K19" s="79"/>
      <c r="L19" s="79"/>
    </row>
    <row r="20" spans="1:12" ht="14.25" x14ac:dyDescent="0.2">
      <c r="A20" s="91" t="s">
        <v>148</v>
      </c>
      <c r="B20" s="102" t="s">
        <v>151</v>
      </c>
      <c r="C20" s="95">
        <v>3.0999999999999999E-3</v>
      </c>
      <c r="D20" s="96"/>
      <c r="F20" s="79"/>
      <c r="G20" s="79"/>
      <c r="H20" s="79"/>
      <c r="I20" s="79"/>
      <c r="J20" s="79"/>
      <c r="K20" s="79"/>
      <c r="L20" s="79"/>
    </row>
    <row r="21" spans="1:12" ht="14.25" x14ac:dyDescent="0.2">
      <c r="A21" s="91" t="s">
        <v>150</v>
      </c>
      <c r="B21" s="102" t="s">
        <v>152</v>
      </c>
      <c r="C21" s="95">
        <v>1.66E-2</v>
      </c>
      <c r="D21" s="96"/>
      <c r="F21" s="79"/>
      <c r="G21" s="79"/>
      <c r="H21" s="79"/>
      <c r="I21" s="79"/>
      <c r="J21" s="79"/>
      <c r="K21" s="79"/>
      <c r="L21" s="79"/>
    </row>
    <row r="22" spans="1:12" ht="15" x14ac:dyDescent="0.2">
      <c r="A22" s="91" t="s">
        <v>153</v>
      </c>
      <c r="B22" s="97" t="s">
        <v>154</v>
      </c>
      <c r="C22" s="98">
        <f>SUM(C16:C21)</f>
        <v>0.17749999999999999</v>
      </c>
      <c r="D22" s="103"/>
      <c r="F22" s="79"/>
      <c r="G22" s="79"/>
      <c r="H22" s="79"/>
      <c r="I22" s="79"/>
      <c r="J22" s="79"/>
      <c r="K22" s="79"/>
      <c r="L22" s="79"/>
    </row>
    <row r="23" spans="1:12" ht="15" x14ac:dyDescent="0.2">
      <c r="A23" s="99"/>
      <c r="B23" s="100"/>
      <c r="C23" s="101"/>
      <c r="D23" s="103"/>
      <c r="F23" s="79"/>
      <c r="G23" s="79"/>
      <c r="H23" s="79"/>
      <c r="I23" s="79"/>
      <c r="J23" s="79"/>
      <c r="K23" s="79"/>
      <c r="L23" s="79"/>
    </row>
    <row r="24" spans="1:12" ht="14.25" x14ac:dyDescent="0.2">
      <c r="A24" s="91" t="s">
        <v>155</v>
      </c>
      <c r="B24" s="92" t="s">
        <v>156</v>
      </c>
      <c r="C24" s="95">
        <v>2.9000000000000001E-2</v>
      </c>
      <c r="D24" s="96"/>
      <c r="E24" s="104"/>
      <c r="F24" s="79"/>
      <c r="G24" s="79"/>
      <c r="H24" s="79"/>
      <c r="I24" s="79"/>
      <c r="J24" s="79"/>
      <c r="K24" s="79"/>
      <c r="L24" s="79"/>
    </row>
    <row r="25" spans="1:12" ht="14.25" x14ac:dyDescent="0.2">
      <c r="A25" s="91" t="s">
        <v>200</v>
      </c>
      <c r="B25" s="92" t="s">
        <v>158</v>
      </c>
      <c r="C25" s="95">
        <v>4.5400000000000003E-2</v>
      </c>
      <c r="D25" s="96"/>
      <c r="F25" s="79"/>
      <c r="G25" s="79"/>
      <c r="H25" s="105"/>
      <c r="I25" s="79"/>
      <c r="J25" s="79"/>
      <c r="K25" s="79"/>
      <c r="L25" s="79"/>
    </row>
    <row r="26" spans="1:12" ht="14.25" x14ac:dyDescent="0.2">
      <c r="A26" s="91" t="s">
        <v>157</v>
      </c>
      <c r="B26" s="92" t="s">
        <v>160</v>
      </c>
      <c r="C26" s="95">
        <v>1.2999999999999999E-3</v>
      </c>
      <c r="D26" s="96"/>
      <c r="F26" s="79"/>
      <c r="G26" s="79"/>
      <c r="H26" s="79"/>
      <c r="I26" s="79"/>
      <c r="J26" s="79"/>
      <c r="K26" s="79"/>
      <c r="L26" s="79"/>
    </row>
    <row r="27" spans="1:12" ht="14.25" x14ac:dyDescent="0.2">
      <c r="A27" s="91" t="s">
        <v>159</v>
      </c>
      <c r="B27" s="92" t="s">
        <v>162</v>
      </c>
      <c r="C27" s="95">
        <v>3.15E-2</v>
      </c>
      <c r="D27" s="96"/>
      <c r="F27" s="79"/>
      <c r="G27" s="106"/>
      <c r="H27" s="79"/>
      <c r="I27" s="79"/>
      <c r="J27" s="79"/>
      <c r="K27" s="79"/>
      <c r="L27" s="79"/>
    </row>
    <row r="28" spans="1:12" ht="14.25" x14ac:dyDescent="0.2">
      <c r="A28" s="91" t="s">
        <v>161</v>
      </c>
      <c r="B28" s="92" t="s">
        <v>163</v>
      </c>
      <c r="C28" s="95">
        <v>2E-3</v>
      </c>
      <c r="D28" s="96"/>
      <c r="F28" s="79"/>
      <c r="G28" s="79"/>
      <c r="H28" s="79"/>
      <c r="I28" s="79"/>
      <c r="J28" s="79"/>
      <c r="K28" s="79"/>
      <c r="L28" s="79"/>
    </row>
    <row r="29" spans="1:12" ht="15" x14ac:dyDescent="0.2">
      <c r="A29" s="91" t="s">
        <v>164</v>
      </c>
      <c r="B29" s="97" t="s">
        <v>165</v>
      </c>
      <c r="C29" s="98">
        <f>SUM(C24:C28)</f>
        <v>0.10920000000000001</v>
      </c>
      <c r="D29" s="103"/>
      <c r="F29" s="79"/>
      <c r="G29" s="79"/>
      <c r="H29" s="79"/>
      <c r="I29" s="79"/>
      <c r="J29" s="79"/>
      <c r="K29" s="79"/>
      <c r="L29" s="79"/>
    </row>
    <row r="30" spans="1:12" ht="15" x14ac:dyDescent="0.2">
      <c r="A30" s="99"/>
      <c r="B30" s="100"/>
      <c r="C30" s="101"/>
      <c r="D30" s="103"/>
      <c r="F30" s="79"/>
      <c r="G30" s="79"/>
      <c r="H30" s="79"/>
      <c r="I30" s="79"/>
      <c r="J30" s="79"/>
      <c r="K30" s="79"/>
      <c r="L30" s="79"/>
    </row>
    <row r="31" spans="1:12" ht="14.25" x14ac:dyDescent="0.2">
      <c r="A31" s="91" t="s">
        <v>166</v>
      </c>
      <c r="B31" s="92" t="s">
        <v>167</v>
      </c>
      <c r="C31" s="95">
        <f>ROUND(C14*C22,4)</f>
        <v>6.5299999999999997E-2</v>
      </c>
      <c r="D31" s="96"/>
      <c r="F31" s="79"/>
      <c r="G31" s="79"/>
      <c r="H31" s="79"/>
      <c r="I31" s="79"/>
      <c r="J31" s="79"/>
      <c r="K31" s="79"/>
      <c r="L31" s="79"/>
    </row>
    <row r="32" spans="1:12" ht="28.5" x14ac:dyDescent="0.2">
      <c r="A32" s="91" t="s">
        <v>168</v>
      </c>
      <c r="B32" s="107" t="s">
        <v>169</v>
      </c>
      <c r="C32" s="95">
        <f>ROUND((C24*C14),4)</f>
        <v>1.0699999999999999E-2</v>
      </c>
      <c r="D32" s="96"/>
      <c r="F32" s="79"/>
      <c r="G32" s="79"/>
      <c r="H32" s="79"/>
      <c r="I32" s="79"/>
      <c r="J32" s="79"/>
      <c r="K32" s="79"/>
      <c r="L32" s="79"/>
    </row>
    <row r="33" spans="1:12" ht="15" x14ac:dyDescent="0.2">
      <c r="A33" s="91" t="s">
        <v>170</v>
      </c>
      <c r="B33" s="97" t="s">
        <v>171</v>
      </c>
      <c r="C33" s="98">
        <f>SUM(C31:C32)</f>
        <v>7.5999999999999998E-2</v>
      </c>
      <c r="D33" s="108"/>
      <c r="F33" s="79"/>
      <c r="G33" s="79"/>
      <c r="H33" s="79"/>
      <c r="I33" s="79"/>
      <c r="J33" s="79"/>
      <c r="K33" s="79"/>
      <c r="L33" s="79"/>
    </row>
    <row r="34" spans="1:12" ht="15.75" thickBot="1" x14ac:dyDescent="0.25">
      <c r="A34" s="109"/>
      <c r="B34" s="110" t="s">
        <v>172</v>
      </c>
      <c r="C34" s="111">
        <f>C33+C29+C22+C14</f>
        <v>0.73070000000000013</v>
      </c>
      <c r="D34" s="108"/>
      <c r="F34" s="79"/>
      <c r="G34" s="79"/>
      <c r="H34" s="79"/>
      <c r="I34" s="79"/>
      <c r="J34" s="79"/>
      <c r="K34" s="79"/>
      <c r="L34" s="79"/>
    </row>
    <row r="35" spans="1:12" ht="15" x14ac:dyDescent="0.2">
      <c r="A35" s="96"/>
      <c r="B35" s="112"/>
      <c r="C35" s="113"/>
      <c r="D35" s="197"/>
      <c r="F35" s="79"/>
      <c r="G35" s="79"/>
      <c r="H35" s="79"/>
      <c r="I35" s="79"/>
      <c r="J35" s="79"/>
      <c r="K35" s="79"/>
      <c r="L35" s="79"/>
    </row>
    <row r="36" spans="1:12" ht="14.25" x14ac:dyDescent="0.2">
      <c r="A36" s="96"/>
      <c r="B36" s="96"/>
      <c r="C36" s="114"/>
      <c r="D36" s="115"/>
      <c r="F36" s="79"/>
      <c r="G36" s="79"/>
      <c r="H36" s="79"/>
      <c r="I36" s="79"/>
      <c r="J36" s="79"/>
      <c r="K36" s="79"/>
      <c r="L36" s="79"/>
    </row>
    <row r="37" spans="1:12" ht="14.25" x14ac:dyDescent="0.2">
      <c r="A37" s="94"/>
      <c r="B37" s="94"/>
      <c r="C37" s="116"/>
      <c r="D37" s="94"/>
      <c r="F37" s="79"/>
      <c r="G37" s="79"/>
      <c r="H37" s="79"/>
      <c r="I37" s="79"/>
      <c r="J37" s="79"/>
      <c r="K37" s="79"/>
      <c r="L37" s="79"/>
    </row>
    <row r="38" spans="1:12" ht="14.25" x14ac:dyDescent="0.2">
      <c r="A38" s="94"/>
      <c r="B38" s="94"/>
      <c r="C38" s="116"/>
      <c r="D38" s="94"/>
      <c r="F38" s="79"/>
      <c r="G38" s="79"/>
      <c r="H38" s="79"/>
      <c r="I38" s="79"/>
      <c r="J38" s="79"/>
      <c r="K38" s="79"/>
      <c r="L38" s="79"/>
    </row>
    <row r="39" spans="1:12" ht="14.25" x14ac:dyDescent="0.2">
      <c r="A39" s="94"/>
      <c r="B39" s="94"/>
      <c r="C39" s="116"/>
      <c r="D39" s="94"/>
      <c r="F39" s="79"/>
      <c r="G39" s="79"/>
      <c r="H39" s="79"/>
      <c r="I39" s="79"/>
      <c r="J39" s="79"/>
      <c r="K39" s="79"/>
      <c r="L39" s="79"/>
    </row>
    <row r="40" spans="1:12" ht="15" x14ac:dyDescent="0.2">
      <c r="A40" s="94"/>
      <c r="B40" s="117"/>
      <c r="C40" s="118"/>
      <c r="D40" s="94"/>
      <c r="F40" s="79"/>
      <c r="G40" s="79"/>
      <c r="H40" s="79"/>
      <c r="I40" s="79"/>
      <c r="J40" s="79"/>
      <c r="K40" s="79"/>
      <c r="L40" s="79"/>
    </row>
    <row r="41" spans="1:12" ht="15" x14ac:dyDescent="0.2">
      <c r="A41" s="108"/>
      <c r="B41" s="117"/>
      <c r="C41" s="118"/>
      <c r="D41" s="108"/>
      <c r="E41" s="79"/>
      <c r="F41" s="79"/>
      <c r="G41" s="79"/>
      <c r="H41" s="79"/>
      <c r="I41" s="79"/>
      <c r="J41" s="79"/>
      <c r="K41" s="79"/>
      <c r="L41" s="79"/>
    </row>
    <row r="42" spans="1:12" ht="16.5" x14ac:dyDescent="0.2">
      <c r="A42" s="119"/>
      <c r="B42" s="79"/>
      <c r="C42" s="79"/>
      <c r="E42" s="79"/>
      <c r="F42" s="79"/>
      <c r="G42" s="79"/>
      <c r="H42" s="79"/>
      <c r="I42" s="79"/>
      <c r="J42" s="79"/>
      <c r="K42" s="79"/>
      <c r="L42" s="79"/>
    </row>
    <row r="43" spans="1:12" x14ac:dyDescent="0.2">
      <c r="A43" s="120"/>
      <c r="B43" s="121"/>
      <c r="C43" s="121"/>
      <c r="E43" s="79"/>
      <c r="F43" s="79"/>
      <c r="G43" s="79"/>
      <c r="H43" s="79"/>
      <c r="I43" s="79"/>
      <c r="J43" s="79"/>
      <c r="K43" s="79"/>
      <c r="L43" s="79"/>
    </row>
    <row r="44" spans="1:12" ht="14.25" x14ac:dyDescent="0.2">
      <c r="A44" s="94"/>
      <c r="B44" s="122"/>
      <c r="C44" s="121"/>
      <c r="E44" s="79"/>
      <c r="F44" s="79"/>
      <c r="G44" s="79"/>
      <c r="H44" s="79"/>
      <c r="I44" s="79"/>
      <c r="J44" s="79"/>
      <c r="K44" s="79"/>
      <c r="L44" s="79"/>
    </row>
    <row r="45" spans="1:12" ht="14.25" x14ac:dyDescent="0.2">
      <c r="A45" s="94"/>
      <c r="B45" s="122"/>
      <c r="C45" s="94"/>
      <c r="E45" s="79"/>
      <c r="F45" s="79"/>
      <c r="G45" s="79"/>
      <c r="H45" s="79"/>
      <c r="I45" s="79"/>
      <c r="J45" s="79"/>
      <c r="K45" s="79"/>
      <c r="L45" s="79"/>
    </row>
    <row r="46" spans="1:12" ht="14.25" x14ac:dyDescent="0.2">
      <c r="A46" s="94"/>
      <c r="B46" s="116"/>
      <c r="C46" s="121"/>
      <c r="E46" s="79"/>
      <c r="F46" s="79"/>
      <c r="G46" s="79"/>
      <c r="H46" s="79"/>
      <c r="I46" s="79"/>
      <c r="J46" s="79"/>
      <c r="K46" s="79"/>
      <c r="L46" s="79"/>
    </row>
    <row r="47" spans="1:12" ht="14.25" x14ac:dyDescent="0.2">
      <c r="A47" s="94"/>
      <c r="B47" s="122"/>
      <c r="C47" s="94"/>
      <c r="E47" s="79"/>
      <c r="F47" s="79"/>
      <c r="G47" s="79"/>
      <c r="H47" s="79"/>
      <c r="I47" s="79"/>
      <c r="J47" s="79"/>
      <c r="K47" s="79"/>
      <c r="L47" s="79"/>
    </row>
    <row r="48" spans="1:12" ht="14.25" x14ac:dyDescent="0.2">
      <c r="A48" s="94"/>
      <c r="B48" s="116"/>
      <c r="C48" s="121"/>
      <c r="E48" s="79"/>
      <c r="F48" s="79"/>
      <c r="G48" s="79"/>
      <c r="H48" s="79"/>
      <c r="I48" s="79"/>
      <c r="J48" s="79"/>
      <c r="K48" s="79"/>
      <c r="L48" s="79"/>
    </row>
    <row r="49" spans="1:12" ht="14.25" x14ac:dyDescent="0.2">
      <c r="A49" s="94"/>
      <c r="B49" s="122"/>
      <c r="C49" s="94"/>
      <c r="E49" s="79"/>
      <c r="F49" s="79"/>
      <c r="G49" s="79"/>
      <c r="H49" s="79"/>
      <c r="I49" s="79"/>
      <c r="J49" s="79"/>
      <c r="K49" s="79"/>
      <c r="L49" s="79"/>
    </row>
    <row r="50" spans="1:12" ht="14.25" x14ac:dyDescent="0.2">
      <c r="A50" s="94"/>
      <c r="B50" s="116"/>
      <c r="C50" s="121"/>
      <c r="E50" s="79"/>
      <c r="F50" s="79"/>
      <c r="G50" s="79"/>
      <c r="H50" s="79"/>
      <c r="I50" s="79"/>
      <c r="J50" s="79"/>
      <c r="K50" s="79"/>
      <c r="L50" s="79"/>
    </row>
    <row r="51" spans="1:12" ht="14.25" x14ac:dyDescent="0.2">
      <c r="A51" s="94"/>
      <c r="B51" s="122"/>
      <c r="C51" s="94"/>
      <c r="E51" s="79"/>
      <c r="F51" s="79"/>
      <c r="G51" s="79"/>
      <c r="H51" s="79"/>
      <c r="I51" s="79"/>
      <c r="J51" s="79"/>
      <c r="K51" s="79"/>
      <c r="L51" s="79"/>
    </row>
    <row r="52" spans="1:12" ht="14.25" x14ac:dyDescent="0.2">
      <c r="A52" s="94"/>
      <c r="B52" s="116"/>
      <c r="C52" s="121"/>
      <c r="E52" s="79"/>
      <c r="F52" s="79"/>
      <c r="G52" s="79"/>
      <c r="H52" s="79"/>
      <c r="I52" s="79"/>
      <c r="J52" s="79"/>
      <c r="K52" s="79"/>
      <c r="L52" s="79"/>
    </row>
    <row r="53" spans="1:12" ht="16.5" x14ac:dyDescent="0.2">
      <c r="A53" s="119"/>
      <c r="B53" s="79"/>
      <c r="C53" s="79"/>
      <c r="E53" s="79"/>
      <c r="F53" s="79"/>
      <c r="G53" s="79"/>
      <c r="H53" s="79"/>
      <c r="I53" s="79"/>
      <c r="J53" s="79"/>
      <c r="K53" s="79"/>
      <c r="L53" s="79"/>
    </row>
    <row r="54" spans="1:12" x14ac:dyDescent="0.2">
      <c r="A54" s="79"/>
      <c r="B54" s="79"/>
      <c r="C54" s="79"/>
      <c r="E54" s="79"/>
      <c r="F54" s="79"/>
      <c r="G54" s="79"/>
      <c r="H54" s="79"/>
      <c r="I54" s="79"/>
      <c r="J54" s="79"/>
      <c r="K54" s="79"/>
      <c r="L54" s="79"/>
    </row>
    <row r="55" spans="1:12" x14ac:dyDescent="0.2">
      <c r="A55" s="79"/>
      <c r="B55" s="79"/>
      <c r="C55" s="79"/>
      <c r="E55" s="79"/>
      <c r="F55" s="79"/>
      <c r="G55" s="79"/>
      <c r="H55" s="79"/>
      <c r="I55" s="79"/>
      <c r="J55" s="79"/>
      <c r="K55" s="79"/>
      <c r="L55" s="79"/>
    </row>
    <row r="56" spans="1:12" x14ac:dyDescent="0.2">
      <c r="A56" s="123"/>
      <c r="B56" s="79"/>
      <c r="C56" s="79"/>
      <c r="E56" s="79"/>
      <c r="F56" s="79"/>
      <c r="G56" s="79"/>
      <c r="H56" s="79"/>
      <c r="I56" s="79"/>
      <c r="J56" s="79"/>
      <c r="K56" s="79"/>
      <c r="L56" s="79"/>
    </row>
    <row r="57" spans="1:12" x14ac:dyDescent="0.2">
      <c r="A57" s="79"/>
      <c r="B57" s="79"/>
      <c r="C57" s="79"/>
      <c r="E57" s="79"/>
    </row>
    <row r="58" spans="1:12" x14ac:dyDescent="0.2">
      <c r="A58" s="79"/>
      <c r="B58" s="79"/>
      <c r="C58" s="79"/>
      <c r="E58" s="79"/>
    </row>
    <row r="59" spans="1:12" x14ac:dyDescent="0.2">
      <c r="A59" s="79"/>
      <c r="B59" s="79"/>
      <c r="C59" s="79"/>
      <c r="E59" s="79"/>
    </row>
    <row r="60" spans="1:12" x14ac:dyDescent="0.2">
      <c r="A60" s="79"/>
      <c r="B60" s="79"/>
      <c r="C60" s="79"/>
      <c r="E60" s="79"/>
    </row>
    <row r="61" spans="1:12" x14ac:dyDescent="0.2">
      <c r="A61" s="79"/>
      <c r="B61" s="79"/>
      <c r="C61" s="79"/>
      <c r="E61" s="79"/>
    </row>
    <row r="62" spans="1:12" x14ac:dyDescent="0.2">
      <c r="A62" s="79"/>
      <c r="B62" s="79"/>
      <c r="C62" s="79"/>
      <c r="E62" s="79"/>
    </row>
    <row r="63" spans="1:12" x14ac:dyDescent="0.2">
      <c r="A63" s="79"/>
      <c r="B63" s="79"/>
      <c r="C63" s="79"/>
      <c r="E63" s="79"/>
    </row>
    <row r="64" spans="1:12" x14ac:dyDescent="0.2">
      <c r="A64" s="79"/>
      <c r="B64" s="79"/>
      <c r="C64" s="79"/>
      <c r="E64" s="79"/>
    </row>
    <row r="65" spans="1:5" x14ac:dyDescent="0.2">
      <c r="A65" s="79"/>
      <c r="B65" s="79"/>
      <c r="C65" s="79"/>
      <c r="E65" s="79"/>
    </row>
  </sheetData>
  <mergeCells count="1">
    <mergeCell ref="A4:C4"/>
  </mergeCells>
  <printOptions horizontalCentered="1"/>
  <pageMargins left="0.9055118110236221" right="0.51181102362204722" top="0.74803149606299213" bottom="0.74803149606299213" header="0.31496062992125984" footer="0.31496062992125984"/>
  <pageSetup paperSize="9" orientation="portrait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1"/>
  <sheetViews>
    <sheetView topLeftCell="A16" zoomScaleNormal="100" workbookViewId="0">
      <selection activeCell="C26" activeCellId="3" sqref="C13:C22 C24 C25 C26"/>
    </sheetView>
  </sheetViews>
  <sheetFormatPr defaultRowHeight="12.75" x14ac:dyDescent="0.2"/>
  <cols>
    <col min="1" max="1" width="8.5703125" style="1" customWidth="1"/>
    <col min="2" max="2" width="67.140625" style="1" customWidth="1"/>
    <col min="3" max="3" width="13.7109375" style="1" customWidth="1"/>
    <col min="4" max="4" width="10.28515625" style="1" hidden="1" customWidth="1"/>
    <col min="5" max="5" width="13.7109375" style="1" hidden="1" customWidth="1"/>
    <col min="6" max="6" width="14.42578125" style="1" hidden="1" customWidth="1"/>
    <col min="7" max="7" width="12.7109375" style="1" hidden="1" customWidth="1"/>
    <col min="8" max="8" width="4.42578125" style="1" hidden="1" customWidth="1"/>
    <col min="9" max="9" width="6.85546875" style="1" hidden="1" customWidth="1"/>
    <col min="10" max="10" width="3.28515625" style="1" hidden="1" customWidth="1"/>
    <col min="11" max="11" width="0" style="1" hidden="1" customWidth="1"/>
    <col min="12" max="16384" width="9.140625" style="1"/>
  </cols>
  <sheetData>
    <row r="1" spans="1:3" x14ac:dyDescent="0.2">
      <c r="A1" s="51" t="s">
        <v>223</v>
      </c>
    </row>
    <row r="3" spans="1:3" x14ac:dyDescent="0.2">
      <c r="A3" s="1" t="s">
        <v>193</v>
      </c>
    </row>
    <row r="4" spans="1:3" x14ac:dyDescent="0.2">
      <c r="A4" s="179" t="s">
        <v>189</v>
      </c>
    </row>
    <row r="5" spans="1:3" ht="25.5" customHeight="1" x14ac:dyDescent="0.2">
      <c r="A5" s="357" t="s">
        <v>234</v>
      </c>
      <c r="B5" s="356"/>
      <c r="C5" s="356"/>
    </row>
    <row r="6" spans="1:3" x14ac:dyDescent="0.2">
      <c r="A6" s="1" t="s">
        <v>190</v>
      </c>
    </row>
    <row r="7" spans="1:3" ht="26.25" customHeight="1" x14ac:dyDescent="0.2">
      <c r="A7" s="356" t="s">
        <v>191</v>
      </c>
      <c r="B7" s="356"/>
      <c r="C7" s="356"/>
    </row>
    <row r="8" spans="1:3" x14ac:dyDescent="0.2">
      <c r="A8" s="1" t="s">
        <v>192</v>
      </c>
    </row>
    <row r="9" spans="1:3" x14ac:dyDescent="0.2">
      <c r="A9" s="1" t="s">
        <v>224</v>
      </c>
    </row>
    <row r="10" spans="1:3" ht="13.5" thickBot="1" x14ac:dyDescent="0.25"/>
    <row r="11" spans="1:3" ht="18" x14ac:dyDescent="0.25">
      <c r="B11" s="354" t="s">
        <v>209</v>
      </c>
      <c r="C11" s="355"/>
    </row>
    <row r="12" spans="1:3" ht="15" x14ac:dyDescent="0.25">
      <c r="A12" s="79"/>
      <c r="B12" s="78" t="s">
        <v>188</v>
      </c>
      <c r="C12" s="124"/>
    </row>
    <row r="13" spans="1:3" ht="15" x14ac:dyDescent="0.25">
      <c r="A13" s="79"/>
      <c r="B13" s="80" t="s">
        <v>104</v>
      </c>
      <c r="C13" s="198">
        <v>2602</v>
      </c>
    </row>
    <row r="14" spans="1:3" ht="15" x14ac:dyDescent="0.25">
      <c r="A14" s="79"/>
      <c r="B14" s="81" t="s">
        <v>105</v>
      </c>
      <c r="C14" s="198">
        <v>3844</v>
      </c>
    </row>
    <row r="15" spans="1:3" ht="14.25" x14ac:dyDescent="0.2">
      <c r="A15" s="79"/>
      <c r="B15" s="125" t="s">
        <v>106</v>
      </c>
      <c r="C15" s="199">
        <v>165</v>
      </c>
    </row>
    <row r="16" spans="1:3" ht="14.25" x14ac:dyDescent="0.2">
      <c r="A16" s="79"/>
      <c r="B16" s="125" t="s">
        <v>107</v>
      </c>
      <c r="C16" s="199">
        <v>2821</v>
      </c>
    </row>
    <row r="17" spans="1:7" ht="14.25" x14ac:dyDescent="0.2">
      <c r="A17" s="79"/>
      <c r="B17" s="125" t="s">
        <v>108</v>
      </c>
      <c r="C17" s="199">
        <v>338</v>
      </c>
    </row>
    <row r="18" spans="1:7" ht="14.25" x14ac:dyDescent="0.2">
      <c r="A18" s="79"/>
      <c r="B18" s="125" t="s">
        <v>109</v>
      </c>
      <c r="C18" s="199">
        <v>22</v>
      </c>
    </row>
    <row r="19" spans="1:7" ht="14.25" x14ac:dyDescent="0.2">
      <c r="A19" s="79"/>
      <c r="B19" s="125" t="s">
        <v>110</v>
      </c>
      <c r="C19" s="199">
        <v>470</v>
      </c>
    </row>
    <row r="20" spans="1:7" ht="14.25" x14ac:dyDescent="0.2">
      <c r="A20" s="79"/>
      <c r="B20" s="125" t="s">
        <v>111</v>
      </c>
      <c r="C20" s="199">
        <v>1</v>
      </c>
    </row>
    <row r="21" spans="1:7" ht="14.25" x14ac:dyDescent="0.2">
      <c r="A21" s="79"/>
      <c r="B21" s="125" t="s">
        <v>112</v>
      </c>
      <c r="C21" s="199">
        <v>26</v>
      </c>
    </row>
    <row r="22" spans="1:7" ht="14.25" x14ac:dyDescent="0.2">
      <c r="A22" s="79"/>
      <c r="B22" s="126" t="s">
        <v>113</v>
      </c>
      <c r="C22" s="200">
        <v>0</v>
      </c>
    </row>
    <row r="23" spans="1:7" ht="15" x14ac:dyDescent="0.25">
      <c r="A23" s="79" t="s">
        <v>114</v>
      </c>
      <c r="B23" s="78" t="s">
        <v>115</v>
      </c>
      <c r="C23" s="124"/>
    </row>
    <row r="24" spans="1:7" ht="14.25" x14ac:dyDescent="0.2">
      <c r="A24" s="79"/>
      <c r="B24" s="127" t="s">
        <v>240</v>
      </c>
      <c r="C24" s="201">
        <v>6389</v>
      </c>
    </row>
    <row r="25" spans="1:7" ht="14.25" x14ac:dyDescent="0.2">
      <c r="A25" s="79"/>
      <c r="B25" s="125" t="s">
        <v>241</v>
      </c>
      <c r="C25" s="199">
        <v>5147</v>
      </c>
    </row>
    <row r="26" spans="1:7" ht="14.25" x14ac:dyDescent="0.2">
      <c r="B26" s="125" t="s">
        <v>242</v>
      </c>
      <c r="C26" s="199">
        <v>-1242</v>
      </c>
    </row>
    <row r="27" spans="1:7" ht="14.25" x14ac:dyDescent="0.2">
      <c r="B27" s="128"/>
      <c r="C27" s="129"/>
    </row>
    <row r="28" spans="1:7" ht="15" x14ac:dyDescent="0.25">
      <c r="B28" s="82" t="s">
        <v>116</v>
      </c>
      <c r="C28" s="180">
        <f>MEDIAN(C13,C14)/MEDIAN(C24,C25)</f>
        <v>0.55877253814147021</v>
      </c>
      <c r="G28" s="1">
        <f>12/C28</f>
        <v>21.4756438101148</v>
      </c>
    </row>
    <row r="29" spans="1:7" ht="15" x14ac:dyDescent="0.25">
      <c r="B29" s="80" t="s">
        <v>117</v>
      </c>
      <c r="C29" s="180">
        <f>C16/MEDIAN(C24,C25)</f>
        <v>0.48907766990291263</v>
      </c>
    </row>
    <row r="30" spans="1:7" ht="15" x14ac:dyDescent="0.25">
      <c r="B30" s="84" t="s">
        <v>118</v>
      </c>
      <c r="C30" s="83">
        <v>360</v>
      </c>
    </row>
    <row r="31" spans="1:7" ht="15" x14ac:dyDescent="0.25">
      <c r="B31" s="80" t="s">
        <v>225</v>
      </c>
      <c r="C31" s="83">
        <v>10</v>
      </c>
    </row>
    <row r="32" spans="1:7" ht="15" x14ac:dyDescent="0.25">
      <c r="B32" s="80" t="s">
        <v>226</v>
      </c>
      <c r="C32" s="83">
        <v>30</v>
      </c>
      <c r="G32" s="1">
        <f>TRUNC(G37)</f>
        <v>9</v>
      </c>
    </row>
    <row r="33" spans="2:11" ht="15" x14ac:dyDescent="0.25">
      <c r="B33" s="80" t="s">
        <v>227</v>
      </c>
      <c r="C33" s="83">
        <v>30</v>
      </c>
    </row>
    <row r="34" spans="2:11" s="51" customFormat="1" ht="15" x14ac:dyDescent="0.25">
      <c r="B34" s="80" t="s">
        <v>119</v>
      </c>
      <c r="C34" s="130">
        <f>MEDIAN(C24,C25)</f>
        <v>5768</v>
      </c>
    </row>
    <row r="35" spans="2:11" s="51" customFormat="1" ht="15" x14ac:dyDescent="0.25">
      <c r="B35" s="80" t="s">
        <v>38</v>
      </c>
      <c r="C35" s="131">
        <v>0.08</v>
      </c>
      <c r="K35" s="51">
        <f>IF(C39&gt;12,C39-12,C39)</f>
        <v>9.4756438101147999</v>
      </c>
    </row>
    <row r="36" spans="2:11" s="51" customFormat="1" ht="15" x14ac:dyDescent="0.25">
      <c r="B36" s="80" t="s">
        <v>120</v>
      </c>
      <c r="C36" s="131">
        <v>0.5</v>
      </c>
      <c r="K36" s="51" t="e">
        <f>IF(#REF!&gt;12,#REF!-12,#REF!)</f>
        <v>#REF!</v>
      </c>
    </row>
    <row r="37" spans="2:11" s="51" customFormat="1" ht="15" x14ac:dyDescent="0.25">
      <c r="B37" s="80" t="s">
        <v>121</v>
      </c>
      <c r="C37" s="181">
        <f>((1/C28)-TRUNC(E37))</f>
        <v>0.78963698417623318</v>
      </c>
      <c r="D37" s="51">
        <f>TRUNC(E37)</f>
        <v>1</v>
      </c>
      <c r="E37" s="51">
        <f>1/C28</f>
        <v>1.7896369841762332</v>
      </c>
      <c r="F37" s="51">
        <f>((1/C28)-TRUNC(E37))</f>
        <v>0.78963698417623318</v>
      </c>
      <c r="G37" s="51">
        <f>12*F37</f>
        <v>9.4756438101147982</v>
      </c>
      <c r="K37" s="51" t="e">
        <f>IF(#REF!&gt;12,#REF!-12,#REF!)</f>
        <v>#REF!</v>
      </c>
    </row>
    <row r="38" spans="2:11" s="51" customFormat="1" ht="15" x14ac:dyDescent="0.25">
      <c r="B38" s="78" t="s">
        <v>122</v>
      </c>
      <c r="C38" s="85">
        <f>30+D38</f>
        <v>33</v>
      </c>
      <c r="D38" s="51">
        <f>3*D37</f>
        <v>3</v>
      </c>
      <c r="G38" s="51">
        <f>G37/12*40/360</f>
        <v>8.7737442686248127E-2</v>
      </c>
      <c r="K38" s="51" t="e">
        <f>IF(#REF!&gt;12,#REF!-12,#REF!)</f>
        <v>#REF!</v>
      </c>
    </row>
    <row r="39" spans="2:11" s="51" customFormat="1" ht="15.75" thickBot="1" x14ac:dyDescent="0.3">
      <c r="B39" s="86" t="s">
        <v>230</v>
      </c>
      <c r="C39" s="182">
        <f>12/C28</f>
        <v>21.4756438101148</v>
      </c>
      <c r="K39" s="51" t="e">
        <f>IF(#REF!&gt;12,#REF!-12,#REF!)</f>
        <v>#REF!</v>
      </c>
    </row>
    <row r="40" spans="2:11" x14ac:dyDescent="0.2">
      <c r="K40" s="1" t="e">
        <f t="shared" ref="K40:K41" si="0">IF(K39&gt;12,K39-12,K39)</f>
        <v>#REF!</v>
      </c>
    </row>
    <row r="41" spans="2:11" x14ac:dyDescent="0.2">
      <c r="K41" s="1" t="e">
        <f t="shared" si="0"/>
        <v>#REF!</v>
      </c>
    </row>
  </sheetData>
  <sheetProtection sheet="1" objects="1" scenarios="1"/>
  <mergeCells count="3">
    <mergeCell ref="B11:C11"/>
    <mergeCell ref="A7:C7"/>
    <mergeCell ref="A5:C5"/>
  </mergeCells>
  <pageMargins left="0.90551181102362199" right="0.51181102362204722" top="0.74803149606299213" bottom="0.74803149606299213" header="0.31496062992125984" footer="0.31496062992125984"/>
  <pageSetup paperSize="9" scale="98" orientation="portrait" verticalDpi="597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2"/>
  <sheetViews>
    <sheetView topLeftCell="A5" zoomScaleNormal="100" workbookViewId="0">
      <selection activeCell="C13" sqref="C13"/>
    </sheetView>
  </sheetViews>
  <sheetFormatPr defaultRowHeight="12.75" x14ac:dyDescent="0.2"/>
  <cols>
    <col min="1" max="1" width="41.85546875" bestFit="1" customWidth="1"/>
    <col min="2" max="2" width="5.5703125" bestFit="1" customWidth="1"/>
    <col min="4" max="4" width="9.7109375" bestFit="1" customWidth="1"/>
    <col min="5" max="5" width="8" style="61" bestFit="1" customWidth="1"/>
    <col min="6" max="6" width="9.7109375" bestFit="1" customWidth="1"/>
  </cols>
  <sheetData>
    <row r="1" spans="1:8" s="73" customFormat="1" ht="14.25" x14ac:dyDescent="0.2">
      <c r="A1" s="8" t="s">
        <v>186</v>
      </c>
      <c r="B1" s="71"/>
      <c r="C1" s="71"/>
      <c r="E1" s="74"/>
    </row>
    <row r="2" spans="1:8" s="73" customFormat="1" ht="14.25" x14ac:dyDescent="0.2">
      <c r="A2" s="70" t="s">
        <v>231</v>
      </c>
      <c r="B2" s="71"/>
      <c r="C2" s="71"/>
      <c r="E2" s="74"/>
    </row>
    <row r="3" spans="1:8" s="73" customFormat="1" ht="14.25" x14ac:dyDescent="0.2">
      <c r="A3" s="6" t="s">
        <v>187</v>
      </c>
      <c r="B3" s="71"/>
      <c r="C3" s="71"/>
      <c r="E3" s="74"/>
    </row>
    <row r="4" spans="1:8" s="73" customFormat="1" ht="14.25" x14ac:dyDescent="0.2">
      <c r="A4" s="70"/>
      <c r="B4" s="71"/>
      <c r="C4" s="71"/>
      <c r="E4" s="74"/>
    </row>
    <row r="5" spans="1:8" s="73" customFormat="1" ht="15" thickBot="1" x14ac:dyDescent="0.25">
      <c r="B5" s="71"/>
      <c r="C5" s="71"/>
      <c r="E5" s="74"/>
    </row>
    <row r="6" spans="1:8" ht="15.75" x14ac:dyDescent="0.2">
      <c r="A6" s="363" t="s">
        <v>210</v>
      </c>
      <c r="B6" s="364"/>
      <c r="C6" s="364"/>
      <c r="D6" s="364"/>
      <c r="E6" s="364"/>
      <c r="F6" s="365"/>
    </row>
    <row r="7" spans="1:8" ht="16.5" thickBot="1" x14ac:dyDescent="0.25">
      <c r="A7" s="169"/>
      <c r="B7" s="170"/>
      <c r="C7" s="170"/>
      <c r="D7" s="170"/>
      <c r="E7" s="170"/>
      <c r="F7" s="171"/>
    </row>
    <row r="8" spans="1:8" ht="15" x14ac:dyDescent="0.25">
      <c r="A8" s="132"/>
      <c r="B8" s="72"/>
      <c r="C8" s="72"/>
      <c r="D8" s="360" t="s">
        <v>228</v>
      </c>
      <c r="E8" s="361"/>
      <c r="F8" s="362"/>
      <c r="G8" s="73"/>
      <c r="H8" s="73"/>
    </row>
    <row r="9" spans="1:8" ht="15" thickBot="1" x14ac:dyDescent="0.25">
      <c r="A9" s="128"/>
      <c r="B9" s="133"/>
      <c r="C9" s="133"/>
      <c r="D9" s="134" t="s">
        <v>173</v>
      </c>
      <c r="E9" s="135" t="s">
        <v>174</v>
      </c>
      <c r="F9" s="136" t="s">
        <v>175</v>
      </c>
      <c r="G9" s="73"/>
      <c r="H9" s="73"/>
    </row>
    <row r="10" spans="1:8" ht="14.25" x14ac:dyDescent="0.2">
      <c r="A10" s="137" t="s">
        <v>70</v>
      </c>
      <c r="B10" s="138" t="s">
        <v>71</v>
      </c>
      <c r="C10" s="202">
        <v>0.05</v>
      </c>
      <c r="D10" s="155">
        <v>2.9700000000000001E-2</v>
      </c>
      <c r="E10" s="156">
        <v>5.0799999999999998E-2</v>
      </c>
      <c r="F10" s="157">
        <v>6.2700000000000006E-2</v>
      </c>
      <c r="G10" s="73"/>
      <c r="H10" s="73"/>
    </row>
    <row r="11" spans="1:8" ht="14.25" x14ac:dyDescent="0.2">
      <c r="A11" s="140" t="s">
        <v>72</v>
      </c>
      <c r="B11" s="141" t="s">
        <v>73</v>
      </c>
      <c r="C11" s="203">
        <v>1.3299999999999999E-2</v>
      </c>
      <c r="D11" s="155">
        <f>0.3%+0.56%</f>
        <v>8.6E-3</v>
      </c>
      <c r="E11" s="156">
        <f>0.48%+0.85%</f>
        <v>1.3299999999999999E-2</v>
      </c>
      <c r="F11" s="157">
        <f>0.82%+0.89%</f>
        <v>1.7099999999999997E-2</v>
      </c>
      <c r="G11" s="73"/>
      <c r="H11" s="73"/>
    </row>
    <row r="12" spans="1:8" ht="14.25" x14ac:dyDescent="0.2">
      <c r="A12" s="140" t="s">
        <v>74</v>
      </c>
      <c r="B12" s="141" t="s">
        <v>75</v>
      </c>
      <c r="C12" s="203">
        <v>0.12</v>
      </c>
      <c r="D12" s="155">
        <v>7.7799999999999994E-2</v>
      </c>
      <c r="E12" s="156">
        <v>0.1085</v>
      </c>
      <c r="F12" s="157">
        <v>0.13550000000000001</v>
      </c>
      <c r="G12" s="73"/>
      <c r="H12" s="73"/>
    </row>
    <row r="13" spans="1:8" ht="14.25" x14ac:dyDescent="0.2">
      <c r="A13" s="140" t="s">
        <v>76</v>
      </c>
      <c r="B13" s="141" t="s">
        <v>77</v>
      </c>
      <c r="C13" s="142">
        <f>(1+E13)^(E14/252)-1</f>
        <v>1.1736565393363207E-3</v>
      </c>
      <c r="D13" s="155" t="s">
        <v>243</v>
      </c>
      <c r="E13" s="206">
        <v>0.03</v>
      </c>
      <c r="F13" s="139"/>
      <c r="G13" s="73"/>
      <c r="H13" s="73"/>
    </row>
    <row r="14" spans="1:8" ht="14.25" x14ac:dyDescent="0.2">
      <c r="A14" s="140" t="s">
        <v>78</v>
      </c>
      <c r="B14" s="358" t="s">
        <v>79</v>
      </c>
      <c r="C14" s="203">
        <v>0.03</v>
      </c>
      <c r="D14" s="187" t="s">
        <v>176</v>
      </c>
      <c r="E14" s="205">
        <v>10</v>
      </c>
      <c r="F14" s="143"/>
      <c r="G14" s="73"/>
      <c r="H14" s="73"/>
    </row>
    <row r="15" spans="1:8" ht="15" thickBot="1" x14ac:dyDescent="0.25">
      <c r="A15" s="144" t="s">
        <v>80</v>
      </c>
      <c r="B15" s="359"/>
      <c r="C15" s="204">
        <v>3.6499999999999998E-2</v>
      </c>
      <c r="D15" s="125"/>
      <c r="E15" s="145"/>
      <c r="F15" s="143"/>
      <c r="G15" s="73"/>
      <c r="H15" s="73"/>
    </row>
    <row r="16" spans="1:8" ht="14.25" x14ac:dyDescent="0.2">
      <c r="A16" s="146" t="s">
        <v>81</v>
      </c>
      <c r="B16" s="147"/>
      <c r="C16" s="148"/>
      <c r="D16" s="125"/>
      <c r="E16" s="145"/>
      <c r="F16" s="143"/>
      <c r="G16" s="73"/>
      <c r="H16" s="73"/>
    </row>
    <row r="17" spans="1:8" ht="15" thickBot="1" x14ac:dyDescent="0.25">
      <c r="A17" s="149" t="s">
        <v>82</v>
      </c>
      <c r="B17" s="150"/>
      <c r="C17" s="151"/>
      <c r="D17" s="125"/>
      <c r="E17" s="145"/>
      <c r="F17" s="143"/>
      <c r="G17" s="73"/>
      <c r="H17" s="73"/>
    </row>
    <row r="18" spans="1:8" ht="15.75" thickBot="1" x14ac:dyDescent="0.25">
      <c r="A18" s="152" t="s">
        <v>83</v>
      </c>
      <c r="B18" s="153"/>
      <c r="C18" s="154">
        <f>ROUND((((1+C10+C11)*(1+C12)*(1+C13))/(1-(C14+C15))-1),4)</f>
        <v>0.2772</v>
      </c>
      <c r="D18" s="158">
        <v>0.21429999999999999</v>
      </c>
      <c r="E18" s="159">
        <v>0.2717</v>
      </c>
      <c r="F18" s="160">
        <v>0.3362</v>
      </c>
      <c r="G18" s="73"/>
      <c r="H18" s="73"/>
    </row>
    <row r="19" spans="1:8" ht="14.25" x14ac:dyDescent="0.2">
      <c r="A19" s="73"/>
      <c r="B19" s="73"/>
      <c r="C19" s="73"/>
      <c r="D19" s="73"/>
      <c r="E19" s="74"/>
      <c r="F19" s="73"/>
      <c r="G19" s="73"/>
      <c r="H19" s="73"/>
    </row>
    <row r="20" spans="1:8" ht="14.25" x14ac:dyDescent="0.2">
      <c r="A20" s="73"/>
      <c r="B20" s="73"/>
      <c r="C20" s="73"/>
      <c r="D20" s="73"/>
      <c r="E20" s="74"/>
      <c r="F20" s="73"/>
      <c r="G20" s="73"/>
      <c r="H20" s="73"/>
    </row>
    <row r="21" spans="1:8" ht="14.25" x14ac:dyDescent="0.2">
      <c r="A21" s="73"/>
      <c r="B21" s="73"/>
      <c r="C21" s="73"/>
      <c r="D21" s="73"/>
      <c r="E21" s="74"/>
      <c r="F21" s="73"/>
      <c r="G21" s="73"/>
      <c r="H21" s="73"/>
    </row>
    <row r="22" spans="1:8" ht="14.25" x14ac:dyDescent="0.2">
      <c r="A22" s="73"/>
      <c r="B22" s="73"/>
      <c r="C22" s="73"/>
      <c r="D22" s="73"/>
      <c r="E22" s="74"/>
      <c r="F22" s="73"/>
      <c r="G22" s="73"/>
      <c r="H22" s="73"/>
    </row>
  </sheetData>
  <mergeCells count="3">
    <mergeCell ref="B14:B15"/>
    <mergeCell ref="D8:F8"/>
    <mergeCell ref="A6:F6"/>
  </mergeCells>
  <pageMargins left="0.90551181102362199" right="0.51181102362204722" top="0.74803149606299213" bottom="0.74803149606299213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opLeftCell="A2" workbookViewId="0">
      <selection activeCell="A19" sqref="A18:A19"/>
    </sheetView>
  </sheetViews>
  <sheetFormatPr defaultRowHeight="19.5" customHeight="1" x14ac:dyDescent="0.2"/>
  <cols>
    <col min="1" max="1" width="24.5703125" style="1" customWidth="1"/>
    <col min="2" max="2" width="20.85546875" style="1" customWidth="1"/>
    <col min="3" max="16384" width="9.140625" style="1"/>
  </cols>
  <sheetData>
    <row r="1" spans="1:2" ht="19.5" customHeight="1" thickBot="1" x14ac:dyDescent="0.25">
      <c r="A1" s="366" t="s">
        <v>212</v>
      </c>
      <c r="B1" s="367"/>
    </row>
    <row r="2" spans="1:2" s="51" customFormat="1" ht="19.5" customHeight="1" x14ac:dyDescent="0.2">
      <c r="A2" s="172" t="s">
        <v>194</v>
      </c>
      <c r="B2" s="173" t="s">
        <v>244</v>
      </c>
    </row>
    <row r="3" spans="1:2" ht="19.5" customHeight="1" x14ac:dyDescent="0.2">
      <c r="A3" s="88">
        <v>1</v>
      </c>
      <c r="B3" s="207">
        <v>33.629999999999995</v>
      </c>
    </row>
    <row r="4" spans="1:2" ht="19.5" customHeight="1" x14ac:dyDescent="0.2">
      <c r="A4" s="88">
        <v>2</v>
      </c>
      <c r="B4" s="87">
        <v>43.13</v>
      </c>
    </row>
    <row r="5" spans="1:2" ht="19.5" customHeight="1" x14ac:dyDescent="0.2">
      <c r="A5" s="88">
        <v>3</v>
      </c>
      <c r="B5" s="87">
        <v>48.68</v>
      </c>
    </row>
    <row r="6" spans="1:2" ht="19.5" customHeight="1" x14ac:dyDescent="0.2">
      <c r="A6" s="88">
        <v>4</v>
      </c>
      <c r="B6" s="87">
        <v>52.62</v>
      </c>
    </row>
    <row r="7" spans="1:2" ht="19.5" customHeight="1" x14ac:dyDescent="0.2">
      <c r="A7" s="88">
        <v>5</v>
      </c>
      <c r="B7" s="87">
        <v>55.679999999999993</v>
      </c>
    </row>
    <row r="8" spans="1:2" ht="19.5" customHeight="1" x14ac:dyDescent="0.2">
      <c r="A8" s="88">
        <v>6</v>
      </c>
      <c r="B8" s="87">
        <v>58.18</v>
      </c>
    </row>
    <row r="9" spans="1:2" ht="19.5" customHeight="1" x14ac:dyDescent="0.2">
      <c r="A9" s="88">
        <v>7</v>
      </c>
      <c r="B9" s="87">
        <v>60.29</v>
      </c>
    </row>
    <row r="10" spans="1:2" ht="19.5" customHeight="1" x14ac:dyDescent="0.2">
      <c r="A10" s="88">
        <v>8</v>
      </c>
      <c r="B10" s="87">
        <v>62.12</v>
      </c>
    </row>
    <row r="11" spans="1:2" ht="19.5" customHeight="1" x14ac:dyDescent="0.2">
      <c r="A11" s="88">
        <v>9</v>
      </c>
      <c r="B11" s="87">
        <v>63.73</v>
      </c>
    </row>
    <row r="12" spans="1:2" ht="19.5" customHeight="1" x14ac:dyDescent="0.2">
      <c r="A12" s="88">
        <v>10</v>
      </c>
      <c r="B12" s="87">
        <v>65.180000000000007</v>
      </c>
    </row>
    <row r="13" spans="1:2" ht="19.5" customHeight="1" x14ac:dyDescent="0.2">
      <c r="A13" s="88">
        <v>11</v>
      </c>
      <c r="B13" s="87">
        <v>66.47999999999999</v>
      </c>
    </row>
    <row r="14" spans="1:2" ht="19.5" customHeight="1" x14ac:dyDescent="0.2">
      <c r="A14" s="88">
        <v>12</v>
      </c>
      <c r="B14" s="87">
        <v>67.67</v>
      </c>
    </row>
    <row r="15" spans="1:2" ht="19.5" customHeight="1" x14ac:dyDescent="0.2">
      <c r="A15" s="88">
        <v>13</v>
      </c>
      <c r="B15" s="87">
        <v>68.77</v>
      </c>
    </row>
    <row r="16" spans="1:2" ht="19.5" customHeight="1" x14ac:dyDescent="0.2">
      <c r="A16" s="88">
        <v>14</v>
      </c>
      <c r="B16" s="87">
        <v>69.789999999999992</v>
      </c>
    </row>
    <row r="17" spans="1:2" ht="19.5" customHeight="1" thickBot="1" x14ac:dyDescent="0.25">
      <c r="A17" s="89">
        <v>15</v>
      </c>
      <c r="B17" s="90">
        <v>70.73</v>
      </c>
    </row>
  </sheetData>
  <sheetProtection sheet="1" objects="1" scenarios="1"/>
  <mergeCells count="1">
    <mergeCell ref="A1:B1"/>
  </mergeCells>
  <pageMargins left="0.90551181102362199" right="0.51181102362204722" top="0.74803149606299213" bottom="0.74803149606299213" header="0.31496062992125984" footer="0.31496062992125984"/>
  <pageSetup paperSize="9" orientation="portrait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>
      <selection activeCell="A24" sqref="A24"/>
    </sheetView>
  </sheetViews>
  <sheetFormatPr defaultRowHeight="12.75" x14ac:dyDescent="0.2"/>
  <cols>
    <col min="1" max="1" width="70.42578125" style="1" customWidth="1"/>
    <col min="2" max="3" width="9.140625" style="1"/>
    <col min="4" max="4" width="12.85546875" style="1" bestFit="1" customWidth="1"/>
    <col min="5" max="16384" width="9.140625" style="1"/>
  </cols>
  <sheetData>
    <row r="1" spans="1:1" ht="18" x14ac:dyDescent="0.25">
      <c r="A1" s="164" t="s">
        <v>216</v>
      </c>
    </row>
    <row r="2" spans="1:1" x14ac:dyDescent="0.2">
      <c r="A2" s="161"/>
    </row>
    <row r="3" spans="1:1" x14ac:dyDescent="0.2">
      <c r="A3" s="161" t="s">
        <v>232</v>
      </c>
    </row>
    <row r="4" spans="1:1" x14ac:dyDescent="0.2">
      <c r="A4" s="161"/>
    </row>
    <row r="5" spans="1:1" x14ac:dyDescent="0.2">
      <c r="A5" s="161"/>
    </row>
    <row r="6" spans="1:1" x14ac:dyDescent="0.2">
      <c r="A6" s="161"/>
    </row>
    <row r="7" spans="1:1" x14ac:dyDescent="0.2">
      <c r="A7" s="161"/>
    </row>
    <row r="8" spans="1:1" x14ac:dyDescent="0.2">
      <c r="A8" s="161"/>
    </row>
    <row r="9" spans="1:1" x14ac:dyDescent="0.2">
      <c r="A9" s="161"/>
    </row>
    <row r="10" spans="1:1" x14ac:dyDescent="0.2">
      <c r="A10" s="161"/>
    </row>
    <row r="11" spans="1:1" x14ac:dyDescent="0.2">
      <c r="A11" s="161"/>
    </row>
    <row r="12" spans="1:1" ht="19.5" x14ac:dyDescent="0.35">
      <c r="A12" s="162" t="s">
        <v>213</v>
      </c>
    </row>
    <row r="13" spans="1:1" ht="15" x14ac:dyDescent="0.2">
      <c r="A13" s="162" t="s">
        <v>92</v>
      </c>
    </row>
    <row r="14" spans="1:1" ht="15" x14ac:dyDescent="0.2">
      <c r="A14" s="162" t="s">
        <v>96</v>
      </c>
    </row>
    <row r="15" spans="1:1" ht="19.5" x14ac:dyDescent="0.35">
      <c r="A15" s="162" t="s">
        <v>214</v>
      </c>
    </row>
    <row r="16" spans="1:1" ht="19.5" x14ac:dyDescent="0.35">
      <c r="A16" s="162" t="s">
        <v>215</v>
      </c>
    </row>
    <row r="17" spans="1:1" ht="15.75" thickBot="1" x14ac:dyDescent="0.25">
      <c r="A17" s="163" t="s">
        <v>93</v>
      </c>
    </row>
    <row r="24" spans="1:1" x14ac:dyDescent="0.2">
      <c r="A24" s="208"/>
    </row>
  </sheetData>
  <sheetProtection sheet="1" objects="1" scenarios="1"/>
  <pageMargins left="0.90551181102362199" right="0.51181102362204722" top="0.74803149606299213" bottom="0.74803149606299213" header="0.31496062992125984" footer="0.31496062992125984"/>
  <pageSetup paperSize="9" orientation="portrait" verticalDpi="597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2"/>
  <sheetViews>
    <sheetView workbookViewId="0">
      <selection activeCell="I19" sqref="I19"/>
    </sheetView>
  </sheetViews>
  <sheetFormatPr defaultRowHeight="12.75" x14ac:dyDescent="0.2"/>
  <cols>
    <col min="1" max="1" width="48.42578125" customWidth="1"/>
    <col min="2" max="2" width="26.42578125" customWidth="1"/>
  </cols>
  <sheetData>
    <row r="1" spans="1:7" x14ac:dyDescent="0.2">
      <c r="A1" s="8" t="s">
        <v>186</v>
      </c>
      <c r="B1" s="179"/>
      <c r="C1" s="179"/>
      <c r="D1" s="179"/>
      <c r="E1" s="179"/>
      <c r="F1" s="179"/>
      <c r="G1" s="179"/>
    </row>
    <row r="2" spans="1:7" x14ac:dyDescent="0.2">
      <c r="A2" s="284" t="s">
        <v>266</v>
      </c>
      <c r="B2" s="179"/>
      <c r="C2" s="179"/>
      <c r="D2" s="179"/>
      <c r="E2" s="179"/>
      <c r="F2" s="179"/>
      <c r="G2" s="179"/>
    </row>
    <row r="3" spans="1:7" x14ac:dyDescent="0.2">
      <c r="A3" s="284" t="s">
        <v>267</v>
      </c>
      <c r="B3" s="179"/>
      <c r="C3" s="179"/>
      <c r="D3" s="179"/>
      <c r="E3" s="179"/>
      <c r="F3" s="179"/>
      <c r="G3" s="179"/>
    </row>
    <row r="4" spans="1:7" x14ac:dyDescent="0.2">
      <c r="A4" s="4" t="s">
        <v>268</v>
      </c>
      <c r="B4" s="179"/>
      <c r="C4" s="179"/>
      <c r="D4" s="179"/>
      <c r="E4" s="179"/>
      <c r="F4" s="179"/>
      <c r="G4" s="179"/>
    </row>
    <row r="5" spans="1:7" ht="13.5" thickBot="1" x14ac:dyDescent="0.25">
      <c r="A5" s="179"/>
      <c r="B5" s="179"/>
      <c r="C5" s="179"/>
      <c r="D5" s="179"/>
      <c r="E5" s="179"/>
      <c r="F5" s="179"/>
      <c r="G5" s="179"/>
    </row>
    <row r="6" spans="1:7" ht="18" x14ac:dyDescent="0.25">
      <c r="A6" s="368" t="s">
        <v>269</v>
      </c>
      <c r="B6" s="369"/>
      <c r="C6" s="370"/>
      <c r="D6" s="179"/>
      <c r="E6" s="179"/>
      <c r="F6" s="179"/>
      <c r="G6" s="179"/>
    </row>
    <row r="7" spans="1:7" ht="18" x14ac:dyDescent="0.25">
      <c r="A7" s="285"/>
      <c r="B7" s="286"/>
      <c r="C7" s="287"/>
      <c r="D7" s="288"/>
      <c r="E7" s="288"/>
      <c r="F7" s="288"/>
      <c r="G7" s="288"/>
    </row>
    <row r="8" spans="1:7" ht="15" x14ac:dyDescent="0.25">
      <c r="A8" s="289" t="s">
        <v>270</v>
      </c>
      <c r="B8" s="290" t="s">
        <v>271</v>
      </c>
      <c r="C8" s="291" t="s">
        <v>125</v>
      </c>
      <c r="D8" s="51"/>
      <c r="E8" s="51"/>
      <c r="F8" s="51"/>
      <c r="G8" s="51"/>
    </row>
    <row r="9" spans="1:7" ht="14.25" x14ac:dyDescent="0.2">
      <c r="A9" s="292" t="s">
        <v>272</v>
      </c>
      <c r="B9" s="293" t="s">
        <v>273</v>
      </c>
      <c r="C9" s="294">
        <v>2826</v>
      </c>
      <c r="D9" s="179"/>
      <c r="E9" s="179"/>
      <c r="F9" s="179"/>
      <c r="G9" s="179"/>
    </row>
    <row r="10" spans="1:7" ht="14.25" x14ac:dyDescent="0.2">
      <c r="A10" s="125" t="s">
        <v>274</v>
      </c>
      <c r="B10" s="295" t="s">
        <v>275</v>
      </c>
      <c r="C10" s="296">
        <v>0.45</v>
      </c>
      <c r="D10" s="179"/>
      <c r="E10" s="179"/>
      <c r="F10" s="179"/>
      <c r="G10" s="179"/>
    </row>
    <row r="11" spans="1:7" ht="14.25" x14ac:dyDescent="0.2">
      <c r="A11" s="125" t="s">
        <v>276</v>
      </c>
      <c r="B11" s="295" t="s">
        <v>277</v>
      </c>
      <c r="C11" s="297">
        <f>C9*C10/1000</f>
        <v>1.2717000000000001</v>
      </c>
      <c r="D11" s="179"/>
      <c r="E11" s="179"/>
      <c r="F11" s="179"/>
      <c r="G11" s="179"/>
    </row>
    <row r="12" spans="1:7" ht="14.25" x14ac:dyDescent="0.2">
      <c r="A12" s="125" t="s">
        <v>278</v>
      </c>
      <c r="B12" s="295" t="s">
        <v>279</v>
      </c>
      <c r="C12" s="298">
        <f>(C11*30)</f>
        <v>38.151000000000003</v>
      </c>
      <c r="D12" s="179"/>
      <c r="E12" s="179"/>
      <c r="F12" s="179"/>
      <c r="G12" s="179"/>
    </row>
    <row r="13" spans="1:7" ht="14.25" x14ac:dyDescent="0.2">
      <c r="A13" s="125" t="s">
        <v>280</v>
      </c>
      <c r="B13" s="295" t="s">
        <v>281</v>
      </c>
      <c r="C13" s="299">
        <v>3</v>
      </c>
      <c r="D13" s="179"/>
      <c r="E13" s="179"/>
      <c r="F13" s="179"/>
      <c r="G13" s="179"/>
    </row>
    <row r="14" spans="1:7" ht="14.25" x14ac:dyDescent="0.2">
      <c r="A14" s="125" t="s">
        <v>282</v>
      </c>
      <c r="B14" s="295" t="s">
        <v>277</v>
      </c>
      <c r="C14" s="297">
        <f>IFERROR(C11*7/C13,0)</f>
        <v>2.9673000000000003</v>
      </c>
      <c r="D14" s="179"/>
      <c r="E14" s="179"/>
      <c r="F14" s="179"/>
      <c r="G14" s="179"/>
    </row>
    <row r="15" spans="1:7" ht="14.25" x14ac:dyDescent="0.2">
      <c r="A15" s="292" t="s">
        <v>283</v>
      </c>
      <c r="B15" s="295" t="s">
        <v>284</v>
      </c>
      <c r="C15" s="143">
        <v>500</v>
      </c>
      <c r="D15" s="179"/>
      <c r="E15" s="179"/>
      <c r="F15" s="179"/>
      <c r="G15" s="179"/>
    </row>
    <row r="16" spans="1:7" ht="14.25" x14ac:dyDescent="0.2">
      <c r="A16" s="125" t="s">
        <v>285</v>
      </c>
      <c r="B16" s="295"/>
      <c r="C16" s="294">
        <v>1</v>
      </c>
      <c r="D16" s="179"/>
      <c r="E16" s="179"/>
      <c r="F16" s="179"/>
      <c r="G16" s="179"/>
    </row>
    <row r="17" spans="1:7" ht="14.25" x14ac:dyDescent="0.2">
      <c r="A17" s="292" t="s">
        <v>286</v>
      </c>
      <c r="B17" s="295" t="s">
        <v>287</v>
      </c>
      <c r="C17" s="294">
        <v>15</v>
      </c>
      <c r="D17" s="179"/>
      <c r="E17" s="179"/>
      <c r="F17" s="179"/>
      <c r="G17" s="179"/>
    </row>
    <row r="18" spans="1:7" ht="14.25" x14ac:dyDescent="0.2">
      <c r="A18" s="125" t="s">
        <v>288</v>
      </c>
      <c r="B18" s="295" t="s">
        <v>279</v>
      </c>
      <c r="C18" s="143">
        <v>4.5</v>
      </c>
      <c r="D18" s="179"/>
      <c r="E18" s="179"/>
      <c r="F18" s="179"/>
      <c r="G18" s="179"/>
    </row>
    <row r="19" spans="1:7" ht="14.25" x14ac:dyDescent="0.2">
      <c r="A19" s="292" t="s">
        <v>289</v>
      </c>
      <c r="B19" s="295"/>
      <c r="C19" s="297">
        <f>IFERROR(C14/C18,0)</f>
        <v>0.6594000000000001</v>
      </c>
      <c r="D19" s="179"/>
      <c r="E19" s="179"/>
      <c r="F19" s="179"/>
      <c r="G19" s="179"/>
    </row>
    <row r="20" spans="1:7" ht="14.25" x14ac:dyDescent="0.2">
      <c r="A20" s="292" t="s">
        <v>290</v>
      </c>
      <c r="B20" s="295"/>
      <c r="C20" s="300">
        <v>2</v>
      </c>
      <c r="D20" s="179"/>
      <c r="E20" s="179"/>
      <c r="F20" s="179"/>
      <c r="G20" s="179"/>
    </row>
    <row r="21" spans="1:7" ht="15" thickBot="1" x14ac:dyDescent="0.25">
      <c r="A21" s="301" t="s">
        <v>291</v>
      </c>
      <c r="B21" s="302"/>
      <c r="C21" s="303">
        <f>IFERROR(C19/C20,0)</f>
        <v>0.32970000000000005</v>
      </c>
      <c r="D21" s="179"/>
      <c r="E21" s="179"/>
      <c r="F21" s="179"/>
      <c r="G21" s="179"/>
    </row>
    <row r="22" spans="1:7" x14ac:dyDescent="0.2">
      <c r="A22" s="179"/>
      <c r="B22" s="179"/>
      <c r="C22" s="179"/>
      <c r="D22" s="179"/>
      <c r="E22" s="179"/>
      <c r="F22" s="179"/>
      <c r="G22" s="179"/>
    </row>
  </sheetData>
  <mergeCells count="1">
    <mergeCell ref="A6:C6"/>
  </mergeCells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4</vt:i4>
      </vt:variant>
    </vt:vector>
  </HeadingPairs>
  <TitlesOfParts>
    <vt:vector size="11" baseType="lpstr">
      <vt:lpstr>Coleta</vt:lpstr>
      <vt:lpstr>2.Encargos Sociais</vt:lpstr>
      <vt:lpstr>3.CAGED</vt:lpstr>
      <vt:lpstr>4.BDI</vt:lpstr>
      <vt:lpstr>5. Depreciação</vt:lpstr>
      <vt:lpstr>6.Remuneração de capital</vt:lpstr>
      <vt:lpstr>Plan1</vt:lpstr>
      <vt:lpstr>AbaDeprec</vt:lpstr>
      <vt:lpstr>AbaRemun</vt:lpstr>
      <vt:lpstr>'2.Encargos Sociais'!Area_de_impressao</vt:lpstr>
      <vt:lpstr>Coleta!Area_de_impressao</vt:lpstr>
    </vt:vector>
  </TitlesOfParts>
  <Company>dmlu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Custos Coleta e Transporte RSU</dc:title>
  <dc:creator>Flavia Burmeister Martins</dc:creator>
  <cp:lastModifiedBy>Prefeitura</cp:lastModifiedBy>
  <cp:lastPrinted>2020-10-05T12:14:34Z</cp:lastPrinted>
  <dcterms:created xsi:type="dcterms:W3CDTF">2000-12-13T10:02:50Z</dcterms:created>
  <dcterms:modified xsi:type="dcterms:W3CDTF">2020-10-05T12:55:55Z</dcterms:modified>
</cp:coreProperties>
</file>